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\Documents\2002 Summit House Docs\"/>
    </mc:Choice>
  </mc:AlternateContent>
  <xr:revisionPtr revIDLastSave="0" documentId="13_ncr:1_{0CD1595A-5225-4B3B-BF9A-BC2EDDD7DE11}" xr6:coauthVersionLast="47" xr6:coauthVersionMax="47" xr10:uidLastSave="{00000000-0000-0000-0000-000000000000}"/>
  <bookViews>
    <workbookView xWindow="22932" yWindow="-108" windowWidth="23256" windowHeight="12576" xr2:uid="{0D764D93-EB68-4889-829D-E1B7DBCCEBC4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" i="1" l="1"/>
  <c r="B117" i="1"/>
  <c r="J188" i="1"/>
  <c r="B116" i="1"/>
  <c r="B112" i="1"/>
  <c r="B122" i="1"/>
  <c r="B75" i="1"/>
  <c r="B103" i="1" l="1"/>
  <c r="B100" i="1"/>
  <c r="B102" i="1"/>
  <c r="J80" i="1"/>
  <c r="B98" i="1"/>
  <c r="B99" i="1"/>
  <c r="B107" i="1"/>
  <c r="B89" i="1" l="1"/>
  <c r="J181" i="1" l="1"/>
  <c r="J109" i="1" l="1"/>
  <c r="B88" i="1"/>
  <c r="B81" i="1"/>
  <c r="B85" i="1"/>
  <c r="B80" i="1"/>
  <c r="B83" i="1"/>
  <c r="B82" i="1"/>
  <c r="B84" i="1" l="1"/>
  <c r="B87" i="1"/>
  <c r="B86" i="1"/>
  <c r="B92" i="1" l="1"/>
  <c r="J45" i="1"/>
  <c r="J39" i="1"/>
  <c r="J46" i="1"/>
  <c r="J29" i="1"/>
  <c r="J30" i="1"/>
  <c r="J37" i="1"/>
  <c r="J101" i="1"/>
  <c r="J93" i="1"/>
  <c r="J27" i="1"/>
  <c r="J118" i="1" l="1"/>
  <c r="J189" i="1"/>
  <c r="J222" i="1"/>
  <c r="J221" i="1"/>
  <c r="J25" i="1"/>
  <c r="J99" i="1"/>
  <c r="J95" i="1"/>
  <c r="J98" i="1"/>
  <c r="J235" i="1" l="1"/>
  <c r="J234" i="1"/>
  <c r="J218" i="1"/>
  <c r="B18" i="1"/>
  <c r="J243" i="1"/>
  <c r="J220" i="1"/>
  <c r="J242" i="1"/>
  <c r="J233" i="1"/>
  <c r="C36" i="3" l="1"/>
  <c r="C39" i="3"/>
  <c r="C37" i="3"/>
  <c r="D37" i="3" s="1"/>
  <c r="D36" i="3"/>
  <c r="D33" i="3"/>
  <c r="D39" i="3"/>
  <c r="D40" i="3"/>
  <c r="D38" i="3"/>
  <c r="D35" i="3"/>
  <c r="B34" i="3"/>
  <c r="D34" i="3" s="1"/>
  <c r="D32" i="3"/>
  <c r="D41" i="3" l="1"/>
  <c r="D42" i="3" s="1"/>
  <c r="J251" i="1"/>
  <c r="J255" i="1" s="1"/>
  <c r="J23" i="1"/>
  <c r="J52" i="1"/>
  <c r="J241" i="1"/>
  <c r="J240" i="1"/>
  <c r="J239" i="1"/>
  <c r="J238" i="1"/>
  <c r="J237" i="1"/>
  <c r="B67" i="1"/>
  <c r="J87" i="1" l="1"/>
  <c r="D27" i="3" l="1"/>
  <c r="D24" i="3"/>
  <c r="D23" i="3"/>
  <c r="D22" i="3"/>
  <c r="D21" i="3"/>
  <c r="D20" i="3"/>
  <c r="D19" i="3"/>
  <c r="B18" i="3"/>
  <c r="D18" i="3" s="1"/>
  <c r="D17" i="3"/>
  <c r="D16" i="3"/>
  <c r="E10" i="3"/>
  <c r="D10" i="3"/>
  <c r="D9" i="3"/>
  <c r="D8" i="3"/>
  <c r="D7" i="3"/>
  <c r="D6" i="3"/>
  <c r="F5" i="3"/>
  <c r="D5" i="3"/>
  <c r="F4" i="3"/>
  <c r="D4" i="3"/>
  <c r="F3" i="3"/>
  <c r="D3" i="3"/>
  <c r="J64" i="1"/>
  <c r="J92" i="1"/>
  <c r="J231" i="1"/>
  <c r="J246" i="1" s="1"/>
  <c r="D11" i="3" l="1"/>
  <c r="D25" i="3"/>
  <c r="D26" i="3" s="1"/>
  <c r="J215" i="1"/>
  <c r="J226" i="1" s="1"/>
  <c r="J21" i="1" l="1"/>
  <c r="F11" i="2"/>
  <c r="J185" i="1"/>
  <c r="F22" i="2" l="1"/>
  <c r="F21" i="2"/>
  <c r="J182" i="1"/>
  <c r="F5" i="2" l="1"/>
  <c r="F20" i="2"/>
  <c r="F18" i="2"/>
  <c r="F4" i="2"/>
  <c r="F6" i="2"/>
  <c r="F7" i="2"/>
  <c r="F8" i="2"/>
  <c r="F12" i="2"/>
  <c r="F9" i="2"/>
  <c r="F3" i="2"/>
  <c r="C16" i="2"/>
  <c r="C10" i="2"/>
  <c r="C9" i="2"/>
  <c r="C13" i="2"/>
  <c r="C8" i="2"/>
  <c r="C7" i="2"/>
  <c r="E24" i="2" s="1"/>
  <c r="B4" i="1" l="1"/>
  <c r="J168" i="1"/>
  <c r="J170" i="1"/>
  <c r="J172" i="1"/>
  <c r="J177" i="1"/>
  <c r="J161" i="1"/>
  <c r="J151" i="1"/>
  <c r="J173" i="1"/>
  <c r="J175" i="1"/>
  <c r="J154" i="1"/>
  <c r="J150" i="1"/>
  <c r="J171" i="1"/>
  <c r="J169" i="1"/>
  <c r="J160" i="1" l="1"/>
  <c r="J159" i="1"/>
  <c r="J152" i="1"/>
  <c r="J146" i="1" l="1"/>
  <c r="J148" i="1"/>
  <c r="J145" i="1"/>
  <c r="J142" i="1" l="1"/>
  <c r="J141" i="1"/>
  <c r="J133" i="1"/>
  <c r="J137" i="1"/>
  <c r="J134" i="1"/>
  <c r="J132" i="1"/>
  <c r="J129" i="1" l="1"/>
  <c r="J128" i="1"/>
  <c r="B40" i="1"/>
  <c r="J204" i="1" l="1"/>
  <c r="J205" i="1"/>
  <c r="J210" i="1" l="1"/>
  <c r="B27" i="1"/>
  <c r="B34" i="1"/>
  <c r="J124" i="1"/>
  <c r="B32" i="1"/>
  <c r="B30" i="1" l="1"/>
  <c r="B46" i="1" s="1"/>
  <c r="J123" i="1" l="1"/>
  <c r="J199" i="1" s="1"/>
  <c r="B59" i="1" l="1"/>
  <c r="B12" i="1" l="1"/>
  <c r="B13" i="1" l="1"/>
  <c r="B21" i="1" s="1"/>
  <c r="J18" i="1" l="1"/>
  <c r="J17" i="1"/>
  <c r="J15" i="1" l="1"/>
  <c r="J16" i="1" l="1"/>
  <c r="J86" i="1"/>
  <c r="J103" i="1" s="1"/>
  <c r="J9" i="1"/>
  <c r="J58" i="1" l="1"/>
  <c r="J60" i="1"/>
  <c r="J61" i="1" l="1"/>
  <c r="J81" i="1" s="1"/>
  <c r="J3" i="1"/>
  <c r="J32" i="1" s="1"/>
</calcChain>
</file>

<file path=xl/sharedStrings.xml><?xml version="1.0" encoding="utf-8"?>
<sst xmlns="http://schemas.openxmlformats.org/spreadsheetml/2006/main" count="419" uniqueCount="296">
  <si>
    <t>Description</t>
  </si>
  <si>
    <t xml:space="preserve">Qty. </t>
  </si>
  <si>
    <t>Price Ea.</t>
  </si>
  <si>
    <t>Price Ext.</t>
  </si>
  <si>
    <t>4 x 4 x 10ft. Cedar Post (Premium Grade)</t>
  </si>
  <si>
    <t>2 x 4 x 8ft. Cedar Board (Premium Grade)</t>
  </si>
  <si>
    <t>1 x 6 x 6ft. Cedar Board (Premium Grade)</t>
  </si>
  <si>
    <t>Approx. 2.5 Lb. 3-1/2" Stainless Screws</t>
  </si>
  <si>
    <t>Gravel to fill holes (per yard)</t>
  </si>
  <si>
    <t>Cedar fence stain (per gallon)</t>
  </si>
  <si>
    <t>Shared Fence Materials List - West 125 ft.</t>
  </si>
  <si>
    <t>Shared Fence Materials List - East 72 ft.</t>
  </si>
  <si>
    <t>Approx. 5 Lb. 3-1/2" Stainless Screws</t>
  </si>
  <si>
    <t>Approx. 4.5 Lb. 1-5/8" Stainless Screws</t>
  </si>
  <si>
    <t>Approx. 10 Lb. 1-5/8" Stainless Screws</t>
  </si>
  <si>
    <t>Yard Expenses</t>
  </si>
  <si>
    <t>Total</t>
  </si>
  <si>
    <t>Neighbor reimbursment for rental 1 day</t>
  </si>
  <si>
    <t>Dump trailer rental</t>
  </si>
  <si>
    <t>Excavator rental</t>
  </si>
  <si>
    <t>Post Caps</t>
  </si>
  <si>
    <t>Cedar Lumber</t>
  </si>
  <si>
    <t>Fence Expenses</t>
  </si>
  <si>
    <t>Wheel Barrow</t>
  </si>
  <si>
    <t>Concrete stakes</t>
  </si>
  <si>
    <t>Post hole digger</t>
  </si>
  <si>
    <t>Cedar stain &amp; brushes</t>
  </si>
  <si>
    <t>3 yard crushed rock</t>
  </si>
  <si>
    <t>Drying rack lumber, plastic sheeting, pond liner</t>
  </si>
  <si>
    <t>Screws</t>
  </si>
  <si>
    <t>Weed killer and applicator</t>
  </si>
  <si>
    <t>2nd rental dump trailer</t>
  </si>
  <si>
    <t>Grass seed &amp; fertilizer</t>
  </si>
  <si>
    <t>Rake</t>
  </si>
  <si>
    <t>1 yard crushed rock</t>
  </si>
  <si>
    <t>5 yard crushed rock</t>
  </si>
  <si>
    <t>10 yard compost</t>
  </si>
  <si>
    <t>PH meter</t>
  </si>
  <si>
    <t>Roller rental</t>
  </si>
  <si>
    <t>Dingo &amp; cultivator rental</t>
  </si>
  <si>
    <t>Geotex fabric</t>
  </si>
  <si>
    <t>Roller rental &amp; Mulch</t>
  </si>
  <si>
    <t>Sprinklers, hoses, timer</t>
  </si>
  <si>
    <t>Sealer, roller, tray</t>
  </si>
  <si>
    <t>Garage Gym</t>
  </si>
  <si>
    <t>2) 4'x6' mirrors</t>
  </si>
  <si>
    <t>Hot Tub</t>
  </si>
  <si>
    <t>Used Hot Tub</t>
  </si>
  <si>
    <t>50 amp spa panel</t>
  </si>
  <si>
    <t>Electrical permit</t>
  </si>
  <si>
    <t>Sole F80 treadmill</t>
  </si>
  <si>
    <t>Dog Area</t>
  </si>
  <si>
    <t>Doggie Door</t>
  </si>
  <si>
    <t>Trencher Rental</t>
  </si>
  <si>
    <t>#6 Wire</t>
  </si>
  <si>
    <t>Conduit/Fittings</t>
  </si>
  <si>
    <t>Trim</t>
  </si>
  <si>
    <t>Periodic Maintenance</t>
  </si>
  <si>
    <t>Weed killer for lawn</t>
  </si>
  <si>
    <t>Soil Test</t>
  </si>
  <si>
    <t>Start up chemicals</t>
  </si>
  <si>
    <t>Drain, clean, refill</t>
  </si>
  <si>
    <t xml:space="preserve">Total: </t>
  </si>
  <si>
    <t>Expansion joint</t>
  </si>
  <si>
    <t>3 yards 3/4" open gravel</t>
  </si>
  <si>
    <t>Patio cleaner</t>
  </si>
  <si>
    <t>Form boards</t>
  </si>
  <si>
    <t>3/4" crushed gravel</t>
  </si>
  <si>
    <t>Artificial Grass</t>
  </si>
  <si>
    <t>Excavator Rental</t>
  </si>
  <si>
    <t>Equipment Rental</t>
  </si>
  <si>
    <t>Concrete</t>
  </si>
  <si>
    <t>Caps</t>
  </si>
  <si>
    <t>Clear</t>
  </si>
  <si>
    <t>#2/btr</t>
  </si>
  <si>
    <t>Split Cost</t>
  </si>
  <si>
    <t>Skid Steer Rental w/ Post Hole Auger</t>
  </si>
  <si>
    <t>4 x 4 x 10ft. Cedar Post #2/btr</t>
  </si>
  <si>
    <t>2 x 4 x 8ft. Cedar Board clear</t>
  </si>
  <si>
    <t>1 x 6 x 6ft. Cedar Board clear</t>
  </si>
  <si>
    <t>Rebar</t>
  </si>
  <si>
    <t>Form tube</t>
  </si>
  <si>
    <t>Bags of concrete</t>
  </si>
  <si>
    <t>Fertilizer</t>
  </si>
  <si>
    <t>Metal Posts</t>
  </si>
  <si>
    <t>Concrete mixer rental</t>
  </si>
  <si>
    <t>Landscape Fabric</t>
  </si>
  <si>
    <t>Post bases</t>
  </si>
  <si>
    <t>Down payment for design</t>
  </si>
  <si>
    <t>East side french drain</t>
  </si>
  <si>
    <t>Sprectracide</t>
  </si>
  <si>
    <t>Crushed gravel</t>
  </si>
  <si>
    <t>Back Patio Extension+ East Patio</t>
  </si>
  <si>
    <t>1/2 yard 3/4 open gravel</t>
  </si>
  <si>
    <t>Stain materials</t>
  </si>
  <si>
    <t>Light</t>
  </si>
  <si>
    <t>Doug fir beams &amp; posts</t>
  </si>
  <si>
    <t>2x12 Form Boards</t>
  </si>
  <si>
    <t>Landfill</t>
  </si>
  <si>
    <t>Fasten master screws</t>
  </si>
  <si>
    <t>Final payment for design</t>
  </si>
  <si>
    <t>Plate compactor rental</t>
  </si>
  <si>
    <t>Building permit</t>
  </si>
  <si>
    <t>Jackhammer rental</t>
  </si>
  <si>
    <t>Rebar dobies/chairs</t>
  </si>
  <si>
    <t>LED lights</t>
  </si>
  <si>
    <t>Concrete Supplies</t>
  </si>
  <si>
    <t>Stain and Supplies</t>
  </si>
  <si>
    <t>Brackets</t>
  </si>
  <si>
    <t>Gorilla Glue</t>
  </si>
  <si>
    <t>Drill Bits</t>
  </si>
  <si>
    <t>LED Strip Lights and Acc.</t>
  </si>
  <si>
    <t>Audio/Video</t>
  </si>
  <si>
    <t>Simpson Screws</t>
  </si>
  <si>
    <t>Saw blade</t>
  </si>
  <si>
    <t>Powdercoat brackets</t>
  </si>
  <si>
    <t>6x8x12 Rafters</t>
  </si>
  <si>
    <t>Pastic sheeting</t>
  </si>
  <si>
    <t>Bolts</t>
  </si>
  <si>
    <t xml:space="preserve">Electrical </t>
  </si>
  <si>
    <t>Gates</t>
  </si>
  <si>
    <t>Powder coat modded fence panel</t>
  </si>
  <si>
    <t>House wrap and nails</t>
  </si>
  <si>
    <t>Sanding belts</t>
  </si>
  <si>
    <t>1/2 yard 1/4 minus gravel</t>
  </si>
  <si>
    <t>Backflow test</t>
  </si>
  <si>
    <t>2x8x12 (5)</t>
  </si>
  <si>
    <t>Sheathing and Framing lumber</t>
  </si>
  <si>
    <t>Decking lumber/2x8x20 (2)</t>
  </si>
  <si>
    <t>Sonos Connect Amp</t>
  </si>
  <si>
    <t>Outdoor Speakers</t>
  </si>
  <si>
    <t>Telehandler Rental</t>
  </si>
  <si>
    <t>Decking lumber 54) 2x6x10</t>
  </si>
  <si>
    <t>Chandelier &amp; bulbs</t>
  </si>
  <si>
    <t>Roofing Materials</t>
  </si>
  <si>
    <t>Roofing Tools</t>
  </si>
  <si>
    <t>Siding Materials</t>
  </si>
  <si>
    <t>Paint Supplies</t>
  </si>
  <si>
    <t>Roofing Gun Rental</t>
  </si>
  <si>
    <t>Stain Supplies</t>
  </si>
  <si>
    <t>Trim boards</t>
  </si>
  <si>
    <t>Tension ties</t>
  </si>
  <si>
    <t>Blade bushing</t>
  </si>
  <si>
    <t>Framing nails</t>
  </si>
  <si>
    <t>A/C</t>
  </si>
  <si>
    <t>A/C Installation</t>
  </si>
  <si>
    <t>Site Prep</t>
  </si>
  <si>
    <t>Crushed Gravel</t>
  </si>
  <si>
    <t>Excavator/Skid Steer Rental</t>
  </si>
  <si>
    <t>Concrete Pad</t>
  </si>
  <si>
    <t>Demolition</t>
  </si>
  <si>
    <t>Jackhammer Rental</t>
  </si>
  <si>
    <t>Disposal of Old Concrete</t>
  </si>
  <si>
    <t>Plate Compactor Rental</t>
  </si>
  <si>
    <t>Form Boards</t>
  </si>
  <si>
    <t>Post Base Brackets</t>
  </si>
  <si>
    <t>Misc. Concrete Supplies</t>
  </si>
  <si>
    <t>Installation Labor</t>
  </si>
  <si>
    <t>Patio Cover Frame</t>
  </si>
  <si>
    <t>Engineered Build Plans</t>
  </si>
  <si>
    <t>Building Permit</t>
  </si>
  <si>
    <t>Douglas Fir Beams &amp; Posts</t>
  </si>
  <si>
    <t>Wood Stain &amp; Supplies</t>
  </si>
  <si>
    <t>Screws/Bolts/Fasteners</t>
  </si>
  <si>
    <t>Structural Metal Brackets</t>
  </si>
  <si>
    <t>House Wrap/Nails/Sheathing</t>
  </si>
  <si>
    <t>Electrical</t>
  </si>
  <si>
    <t>Romex Wire &amp; Supplies</t>
  </si>
  <si>
    <t>24v LED Strip Lights &amp; Hardware</t>
  </si>
  <si>
    <t>HDMI/Speaker Wire/Connectors</t>
  </si>
  <si>
    <t>2x6 T&amp;G Roof Decking Lumber</t>
  </si>
  <si>
    <t>Chandelier &amp; Bulbs</t>
  </si>
  <si>
    <t>Outdoor Speakers &amp; Amp</t>
  </si>
  <si>
    <t>Roofing &amp; Siding</t>
  </si>
  <si>
    <t>Flashing/Shingles/Felt/Nails</t>
  </si>
  <si>
    <t>Hardie Plank Siding</t>
  </si>
  <si>
    <t>Specialty Saw Blade</t>
  </si>
  <si>
    <t>Hardie Trim Boards</t>
  </si>
  <si>
    <t>Paint &amp; Supplies</t>
  </si>
  <si>
    <t>Trim Screws</t>
  </si>
  <si>
    <t>Respirator, caulking</t>
  </si>
  <si>
    <t>Gutters</t>
  </si>
  <si>
    <t>Paint, Caulk, &amp; Supplies</t>
  </si>
  <si>
    <t>Concrete Pump Truck</t>
  </si>
  <si>
    <t>Debris Disposal @ Landfill</t>
  </si>
  <si>
    <t>Total Cost:</t>
  </si>
  <si>
    <t>Gas Fire Pit</t>
  </si>
  <si>
    <t>Poly Gas Pipe &amp; Fittings</t>
  </si>
  <si>
    <t>Paver Patio &amp; Walkway Expenses</t>
  </si>
  <si>
    <t>Replacement Elec. Board</t>
  </si>
  <si>
    <t>Large skid steer rental</t>
  </si>
  <si>
    <t>Retaining Wall</t>
  </si>
  <si>
    <t>Western Interlock Firepit Kit</t>
  </si>
  <si>
    <t>Western Interlock Step Blocks</t>
  </si>
  <si>
    <t>Chisel</t>
  </si>
  <si>
    <t>Retaining Wall Blocks</t>
  </si>
  <si>
    <t>Drain Tile</t>
  </si>
  <si>
    <t>Skid Steer w/ Auger</t>
  </si>
  <si>
    <t>Neighbor reimbursment for half fence cost</t>
  </si>
  <si>
    <t>2 yard crushed rock</t>
  </si>
  <si>
    <t>1 yd crushed rock</t>
  </si>
  <si>
    <t>Skid Steer Repairs</t>
  </si>
  <si>
    <t>Track Idler Rollers 6-15-20</t>
  </si>
  <si>
    <t>PVC Fittings</t>
  </si>
  <si>
    <t>Sprinkler System &amp; Yard Hydrant</t>
  </si>
  <si>
    <t>October Glory Maple Tree</t>
  </si>
  <si>
    <t>PVC Pipe</t>
  </si>
  <si>
    <t>Large Skid Steer Rental + Jumping Jack</t>
  </si>
  <si>
    <t>Sprinkler Parts (rainbird)</t>
  </si>
  <si>
    <t>Electrical Outlet on Fence</t>
  </si>
  <si>
    <t>Black Pipe Fittings</t>
  </si>
  <si>
    <t>1 Yd. Sand Backfill</t>
  </si>
  <si>
    <t>Pipe Cutter Tool</t>
  </si>
  <si>
    <t>33 bags concrete</t>
  </si>
  <si>
    <t>11 pcs. Rebar</t>
  </si>
  <si>
    <t>24 bags concrete</t>
  </si>
  <si>
    <t>Rebar Ties &amp; Form Lumber</t>
  </si>
  <si>
    <t>Pressure Regulator</t>
  </si>
  <si>
    <t>Ditch Witch Bearings</t>
  </si>
  <si>
    <t>Tracks</t>
  </si>
  <si>
    <t>Pressure Treated Boards</t>
  </si>
  <si>
    <t>Concrete &amp; Form</t>
  </si>
  <si>
    <t>Pressure Treated 6x6</t>
  </si>
  <si>
    <t>Final Fence Cost - West Side</t>
  </si>
  <si>
    <t>Jumping Jack rental</t>
  </si>
  <si>
    <t>3 yd. 3/4" clear stone</t>
  </si>
  <si>
    <t>Filter fabric</t>
  </si>
  <si>
    <t>1 yd. 3/4" clear stone</t>
  </si>
  <si>
    <t>Rebar for hot tub pad</t>
  </si>
  <si>
    <t>Concrete for Footing</t>
  </si>
  <si>
    <t>Pipe Sleve for under concrete</t>
  </si>
  <si>
    <t>8-7-20 1 gal. stain for east gate</t>
  </si>
  <si>
    <t>Form Board</t>
  </si>
  <si>
    <t>Gas detector</t>
  </si>
  <si>
    <t>Rebar for footing</t>
  </si>
  <si>
    <t>Stone grinding disc</t>
  </si>
  <si>
    <t>Gravel &amp; Sand</t>
  </si>
  <si>
    <t>Gravel</t>
  </si>
  <si>
    <t>Compactor Rental</t>
  </si>
  <si>
    <t>Dingo Rental</t>
  </si>
  <si>
    <t>Rototiller rental</t>
  </si>
  <si>
    <t>Paver saw Rental</t>
  </si>
  <si>
    <t>Western Interlock Blocks/edge restraint/poly sweep</t>
  </si>
  <si>
    <t>3300 sq. ft. Sod</t>
  </si>
  <si>
    <t>Montana fire pit</t>
  </si>
  <si>
    <t>Trenching Shovel</t>
  </si>
  <si>
    <t>Sod knife</t>
  </si>
  <si>
    <t>Lava rock</t>
  </si>
  <si>
    <t>Misc. pipe &amp; fittings</t>
  </si>
  <si>
    <t>Misc.</t>
  </si>
  <si>
    <t>East Side ~ 72 feet long</t>
  </si>
  <si>
    <t>West Side ~ 125 feet long</t>
  </si>
  <si>
    <t>Ceramic Fire Balls</t>
  </si>
  <si>
    <t>Dingo rental</t>
  </si>
  <si>
    <t>5 gallons of sealer</t>
  </si>
  <si>
    <t>9 yards topsoil</t>
  </si>
  <si>
    <t>Soil &amp; Sand to fill trench</t>
  </si>
  <si>
    <t>Dingo, rake, auger &amp; cultivator rental</t>
  </si>
  <si>
    <t>Valve boxes</t>
  </si>
  <si>
    <t>Palm Trees</t>
  </si>
  <si>
    <t>Living Room Remodel</t>
  </si>
  <si>
    <t>Galv pipe fittings/flex hose</t>
  </si>
  <si>
    <t>Paint supplies (tape, masking,sandpaper)</t>
  </si>
  <si>
    <t>Vacuum filters</t>
  </si>
  <si>
    <t>TV Wall</t>
  </si>
  <si>
    <t>Drywall</t>
  </si>
  <si>
    <t>Fasteners/hardware/electrical</t>
  </si>
  <si>
    <t>Paint</t>
  </si>
  <si>
    <t>Carpet</t>
  </si>
  <si>
    <t>Framing Lumber</t>
  </si>
  <si>
    <t>Light Fixture/Bulbs</t>
  </si>
  <si>
    <t>Steel Post Wraps</t>
  </si>
  <si>
    <t>Steel Truss Brackets (custom lasercut)</t>
  </si>
  <si>
    <t>Gravel 1 yd.</t>
  </si>
  <si>
    <t>Play Structure</t>
  </si>
  <si>
    <t>Lumber</t>
  </si>
  <si>
    <t>Paint/Stain/Supplies/Sanding</t>
  </si>
  <si>
    <t>Fasteners</t>
  </si>
  <si>
    <t>Decking</t>
  </si>
  <si>
    <t>Ballisters</t>
  </si>
  <si>
    <t>1x6x6 Cedar + concrete</t>
  </si>
  <si>
    <t>Swings</t>
  </si>
  <si>
    <t>Stair railing powder coat</t>
  </si>
  <si>
    <t>Gravel 2 yds.</t>
  </si>
  <si>
    <t>Wood Chips</t>
  </si>
  <si>
    <t>Front Yard Overhaul</t>
  </si>
  <si>
    <t>Large Oversize Boulders</t>
  </si>
  <si>
    <t>1.5 inch Round River Rock, 1 yd.</t>
  </si>
  <si>
    <t>3 yds. Soil Mix</t>
  </si>
  <si>
    <t>Sod</t>
  </si>
  <si>
    <t>Flowers &amp; Plants</t>
  </si>
  <si>
    <t>Steel for railing</t>
  </si>
  <si>
    <t>Garage Heater (Preparation)</t>
  </si>
  <si>
    <t>Shed (Preparation)</t>
  </si>
  <si>
    <t>Concrete Driveway Sealer</t>
  </si>
  <si>
    <t>Driveway Extension (Preparation)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</si>
</sst>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3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7" fontId="0" fillId="0" borderId="0" xfId="0" applyNumberFormat="1"/>
    <xf numFmtId="14" fontId="0" fillId="0" borderId="0" xfId="0" applyNumberFormat="1"/>
    <xf numFmtId="0" fontId="1" fillId="4" borderId="0" xfId="0" applyFont="1" applyFill="1"/>
    <xf numFmtId="164" fontId="0" fillId="4" borderId="0" xfId="0" applyNumberFormat="1" applyFill="1"/>
    <xf numFmtId="0" fontId="0" fillId="0" borderId="5" xfId="0" applyBorder="1"/>
    <xf numFmtId="164" fontId="0" fillId="0" borderId="5" xfId="0" applyNumberFormat="1" applyBorder="1"/>
    <xf numFmtId="0" fontId="1" fillId="5" borderId="1" xfId="0" applyFont="1" applyFill="1" applyBorder="1"/>
    <xf numFmtId="164" fontId="0" fillId="5" borderId="1" xfId="0" applyNumberFormat="1" applyFill="1" applyBorder="1"/>
    <xf numFmtId="0" fontId="1" fillId="6" borderId="1" xfId="0" applyFont="1" applyFill="1" applyBorder="1"/>
    <xf numFmtId="164" fontId="0" fillId="6" borderId="1" xfId="0" applyNumberForma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164" fontId="1" fillId="3" borderId="7" xfId="0" applyNumberFormat="1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D26FD-C845-43A9-B0F9-056518B3FEDD}">
  <dimension ref="A1:M255"/>
  <sheetViews>
    <sheetView tabSelected="1" workbookViewId="0">
      <selection activeCell="H71" sqref="H71"/>
    </sheetView>
  </sheetViews>
  <sheetFormatPr defaultRowHeight="14.4" x14ac:dyDescent="0.3"/>
  <cols>
    <col min="1" max="1" width="44.21875" customWidth="1"/>
    <col min="2" max="2" width="9.109375" style="1" bestFit="1" customWidth="1"/>
    <col min="3" max="3" width="10" style="9" bestFit="1" customWidth="1"/>
    <col min="4" max="4" width="8.88671875" style="9"/>
    <col min="9" max="9" width="34.77734375" bestFit="1" customWidth="1"/>
    <col min="10" max="10" width="11.77734375" customWidth="1"/>
    <col min="11" max="11" width="9.5546875" bestFit="1" customWidth="1"/>
    <col min="13" max="13" width="10.44140625" customWidth="1"/>
  </cols>
  <sheetData>
    <row r="1" spans="1:13" ht="15.6" x14ac:dyDescent="0.3">
      <c r="A1" s="25" t="s">
        <v>144</v>
      </c>
      <c r="B1" s="25"/>
      <c r="I1" s="25" t="s">
        <v>15</v>
      </c>
      <c r="J1" s="25"/>
      <c r="L1" t="s">
        <v>62</v>
      </c>
      <c r="M1" s="9">
        <f>B21+B46+B59+J32+J81+J103+J109+J199+J210+B4+J226+J246+J52+J255+B75+B92+B107+B122</f>
        <v>53519.919999999991</v>
      </c>
    </row>
    <row r="2" spans="1:13" s="3" customFormat="1" x14ac:dyDescent="0.3">
      <c r="A2" s="4" t="s">
        <v>0</v>
      </c>
      <c r="B2" s="7" t="s">
        <v>16</v>
      </c>
      <c r="C2" s="9"/>
      <c r="D2" s="9"/>
      <c r="E2"/>
      <c r="F2"/>
      <c r="G2"/>
      <c r="I2" s="4" t="s">
        <v>0</v>
      </c>
      <c r="J2" s="7" t="s">
        <v>16</v>
      </c>
    </row>
    <row r="3" spans="1:13" x14ac:dyDescent="0.3">
      <c r="A3" s="2" t="s">
        <v>145</v>
      </c>
      <c r="B3" s="8">
        <v>3100</v>
      </c>
      <c r="C3" s="16">
        <v>43291</v>
      </c>
      <c r="I3" s="2" t="s">
        <v>19</v>
      </c>
      <c r="J3" s="8">
        <f>275+309.4</f>
        <v>584.4</v>
      </c>
    </row>
    <row r="4" spans="1:13" x14ac:dyDescent="0.3">
      <c r="A4" s="11" t="s">
        <v>16</v>
      </c>
      <c r="B4" s="12">
        <f>SUM(B3:B3)</f>
        <v>3100</v>
      </c>
      <c r="I4" s="2" t="s">
        <v>17</v>
      </c>
      <c r="J4" s="8">
        <v>-275</v>
      </c>
    </row>
    <row r="5" spans="1:13" x14ac:dyDescent="0.3">
      <c r="I5" s="2" t="s">
        <v>18</v>
      </c>
      <c r="J5" s="8">
        <v>75</v>
      </c>
    </row>
    <row r="6" spans="1:13" ht="15.6" x14ac:dyDescent="0.3">
      <c r="A6" s="25" t="s">
        <v>46</v>
      </c>
      <c r="B6" s="25"/>
      <c r="I6" s="2" t="s">
        <v>23</v>
      </c>
      <c r="J6" s="8">
        <v>89.97</v>
      </c>
    </row>
    <row r="7" spans="1:13" x14ac:dyDescent="0.3">
      <c r="A7" s="4" t="s">
        <v>0</v>
      </c>
      <c r="B7" s="7" t="s">
        <v>16</v>
      </c>
      <c r="I7" s="2" t="s">
        <v>24</v>
      </c>
      <c r="J7" s="8">
        <v>11.94</v>
      </c>
    </row>
    <row r="8" spans="1:13" x14ac:dyDescent="0.3">
      <c r="A8" s="2" t="s">
        <v>47</v>
      </c>
      <c r="B8" s="8">
        <v>2000</v>
      </c>
      <c r="I8" s="2" t="s">
        <v>30</v>
      </c>
      <c r="J8" s="8">
        <v>45.64</v>
      </c>
    </row>
    <row r="9" spans="1:13" x14ac:dyDescent="0.3">
      <c r="A9" s="2" t="s">
        <v>48</v>
      </c>
      <c r="B9" s="8">
        <v>84.98</v>
      </c>
      <c r="I9" s="2" t="s">
        <v>34</v>
      </c>
      <c r="J9" s="8">
        <f>34*1</f>
        <v>34</v>
      </c>
    </row>
    <row r="10" spans="1:13" x14ac:dyDescent="0.3">
      <c r="A10" s="2" t="s">
        <v>49</v>
      </c>
      <c r="B10" s="8">
        <v>100.8</v>
      </c>
      <c r="I10" s="2" t="s">
        <v>31</v>
      </c>
      <c r="J10" s="8">
        <v>75</v>
      </c>
    </row>
    <row r="11" spans="1:13" x14ac:dyDescent="0.3">
      <c r="A11" s="2" t="s">
        <v>53</v>
      </c>
      <c r="B11" s="8">
        <v>102</v>
      </c>
      <c r="I11" s="2" t="s">
        <v>32</v>
      </c>
      <c r="J11" s="8">
        <v>84.97</v>
      </c>
    </row>
    <row r="12" spans="1:13" x14ac:dyDescent="0.3">
      <c r="A12" s="2" t="s">
        <v>54</v>
      </c>
      <c r="B12" s="8">
        <f>69.6+170.3</f>
        <v>239.9</v>
      </c>
      <c r="I12" s="2" t="s">
        <v>33</v>
      </c>
      <c r="J12" s="8">
        <v>26.98</v>
      </c>
    </row>
    <row r="13" spans="1:13" x14ac:dyDescent="0.3">
      <c r="A13" s="2" t="s">
        <v>55</v>
      </c>
      <c r="B13" s="8">
        <f>49.75+6.86+55.46+10.84+31.63</f>
        <v>154.54</v>
      </c>
      <c r="I13" s="2" t="s">
        <v>36</v>
      </c>
      <c r="J13" s="8">
        <v>370</v>
      </c>
    </row>
    <row r="14" spans="1:13" x14ac:dyDescent="0.3">
      <c r="A14" s="2" t="s">
        <v>61</v>
      </c>
      <c r="B14" s="8">
        <v>228.65</v>
      </c>
      <c r="I14" s="2" t="s">
        <v>37</v>
      </c>
      <c r="J14" s="8">
        <v>10.99</v>
      </c>
    </row>
    <row r="15" spans="1:13" x14ac:dyDescent="0.3">
      <c r="A15" s="2" t="s">
        <v>60</v>
      </c>
      <c r="B15" s="8">
        <v>147.77000000000001</v>
      </c>
      <c r="I15" s="2" t="s">
        <v>39</v>
      </c>
      <c r="J15" s="8">
        <f>310+26.81+12.46</f>
        <v>349.27</v>
      </c>
    </row>
    <row r="16" spans="1:13" x14ac:dyDescent="0.3">
      <c r="A16" s="2" t="s">
        <v>189</v>
      </c>
      <c r="B16" s="8">
        <v>442.89</v>
      </c>
      <c r="I16" s="2" t="s">
        <v>38</v>
      </c>
      <c r="J16" s="8">
        <f>16.36+25</f>
        <v>41.36</v>
      </c>
    </row>
    <row r="17" spans="1:11" x14ac:dyDescent="0.3">
      <c r="A17" s="2"/>
      <c r="B17" s="8"/>
      <c r="I17" s="2" t="s">
        <v>41</v>
      </c>
      <c r="J17" s="8">
        <f>55+7.99+60</f>
        <v>122.99000000000001</v>
      </c>
    </row>
    <row r="18" spans="1:11" x14ac:dyDescent="0.3">
      <c r="A18" s="2" t="s">
        <v>228</v>
      </c>
      <c r="B18" s="8">
        <f>4*5.37</f>
        <v>21.48</v>
      </c>
      <c r="I18" s="2" t="s">
        <v>42</v>
      </c>
      <c r="J18" s="8">
        <f>89.86+44.75+28.97-8.97</f>
        <v>154.61000000000001</v>
      </c>
    </row>
    <row r="19" spans="1:11" x14ac:dyDescent="0.3">
      <c r="A19" s="2" t="s">
        <v>71</v>
      </c>
      <c r="B19" s="8">
        <v>97.62</v>
      </c>
      <c r="I19" s="2" t="s">
        <v>59</v>
      </c>
      <c r="J19" s="8">
        <v>99</v>
      </c>
    </row>
    <row r="20" spans="1:11" x14ac:dyDescent="0.3">
      <c r="A20" s="2"/>
      <c r="B20" s="8"/>
      <c r="I20" s="2" t="s">
        <v>86</v>
      </c>
      <c r="J20" s="8">
        <v>42.98</v>
      </c>
    </row>
    <row r="21" spans="1:11" x14ac:dyDescent="0.3">
      <c r="A21" s="11" t="s">
        <v>16</v>
      </c>
      <c r="B21" s="12">
        <f>SUM(B8:B20)</f>
        <v>3620.63</v>
      </c>
      <c r="I21" s="2" t="s">
        <v>89</v>
      </c>
      <c r="J21" s="8">
        <f>15.22+20.64+15.22+27.97+40+43+52.02+85+115+22.6</f>
        <v>436.67000000000007</v>
      </c>
    </row>
    <row r="22" spans="1:11" x14ac:dyDescent="0.3">
      <c r="I22" s="2" t="s">
        <v>205</v>
      </c>
      <c r="J22" s="8">
        <v>224.95</v>
      </c>
    </row>
    <row r="23" spans="1:11" x14ac:dyDescent="0.3">
      <c r="I23" s="2" t="s">
        <v>209</v>
      </c>
      <c r="J23" s="8">
        <f>32.3+5.53+6.98+1.1+24.43</f>
        <v>70.34</v>
      </c>
    </row>
    <row r="24" spans="1:11" ht="15.6" x14ac:dyDescent="0.3">
      <c r="A24" s="25" t="s">
        <v>51</v>
      </c>
      <c r="B24" s="25"/>
      <c r="I24" s="2" t="s">
        <v>240</v>
      </c>
      <c r="J24" s="8">
        <v>50</v>
      </c>
    </row>
    <row r="25" spans="1:11" x14ac:dyDescent="0.3">
      <c r="A25" s="4" t="s">
        <v>0</v>
      </c>
      <c r="B25" s="7" t="s">
        <v>16</v>
      </c>
      <c r="I25" s="2" t="s">
        <v>243</v>
      </c>
      <c r="J25" s="8">
        <f>1635-84</f>
        <v>1551</v>
      </c>
    </row>
    <row r="26" spans="1:11" x14ac:dyDescent="0.3">
      <c r="A26" s="2" t="s">
        <v>52</v>
      </c>
      <c r="B26" s="8">
        <v>94.49</v>
      </c>
      <c r="I26" s="2" t="s">
        <v>246</v>
      </c>
      <c r="J26" s="8">
        <v>28.95</v>
      </c>
    </row>
    <row r="27" spans="1:11" x14ac:dyDescent="0.3">
      <c r="A27" s="2" t="s">
        <v>56</v>
      </c>
      <c r="B27" s="8">
        <f>12.41+4.66</f>
        <v>17.07</v>
      </c>
      <c r="D27"/>
      <c r="I27" s="2" t="s">
        <v>253</v>
      </c>
      <c r="J27" s="8">
        <f>340+170+170+32.8</f>
        <v>712.8</v>
      </c>
    </row>
    <row r="28" spans="1:11" x14ac:dyDescent="0.3">
      <c r="A28" s="2" t="s">
        <v>64</v>
      </c>
      <c r="B28" s="8">
        <v>90</v>
      </c>
      <c r="I28" s="2" t="s">
        <v>240</v>
      </c>
      <c r="J28" s="8">
        <v>36</v>
      </c>
    </row>
    <row r="29" spans="1:11" x14ac:dyDescent="0.3">
      <c r="A29" s="2" t="s">
        <v>68</v>
      </c>
      <c r="B29" s="8">
        <v>325</v>
      </c>
      <c r="I29" s="2" t="s">
        <v>257</v>
      </c>
      <c r="J29" s="8">
        <f>405+300</f>
        <v>705</v>
      </c>
      <c r="K29" s="9"/>
    </row>
    <row r="30" spans="1:11" x14ac:dyDescent="0.3">
      <c r="A30" s="2" t="s">
        <v>69</v>
      </c>
      <c r="B30" s="8">
        <f>5.52+204</f>
        <v>209.52</v>
      </c>
      <c r="I30" s="2" t="s">
        <v>255</v>
      </c>
      <c r="J30" s="8">
        <f>229+84+41</f>
        <v>354</v>
      </c>
    </row>
    <row r="31" spans="1:11" x14ac:dyDescent="0.3">
      <c r="A31" s="2" t="s">
        <v>70</v>
      </c>
      <c r="B31" s="8">
        <v>236</v>
      </c>
      <c r="I31" s="2" t="s">
        <v>259</v>
      </c>
      <c r="J31" s="8">
        <v>1000</v>
      </c>
    </row>
    <row r="32" spans="1:11" x14ac:dyDescent="0.3">
      <c r="A32" s="2" t="s">
        <v>80</v>
      </c>
      <c r="B32" s="8">
        <f>18.75+54.44</f>
        <v>73.19</v>
      </c>
      <c r="I32" s="11" t="s">
        <v>16</v>
      </c>
      <c r="J32" s="12">
        <f>SUM(J3:J31)</f>
        <v>7113.8099999999995</v>
      </c>
    </row>
    <row r="33" spans="1:10" x14ac:dyDescent="0.3">
      <c r="A33" s="2" t="s">
        <v>81</v>
      </c>
      <c r="B33" s="8">
        <v>11.45</v>
      </c>
    </row>
    <row r="34" spans="1:10" x14ac:dyDescent="0.3">
      <c r="A34" s="2" t="s">
        <v>82</v>
      </c>
      <c r="B34" s="8">
        <f>17+34+21.25+63.75</f>
        <v>136</v>
      </c>
    </row>
    <row r="35" spans="1:10" ht="15.6" x14ac:dyDescent="0.3">
      <c r="A35" s="2" t="s">
        <v>84</v>
      </c>
      <c r="B35" s="8">
        <v>41.06</v>
      </c>
      <c r="I35" s="25" t="s">
        <v>204</v>
      </c>
      <c r="J35" s="25"/>
    </row>
    <row r="36" spans="1:10" x14ac:dyDescent="0.3">
      <c r="A36" s="2" t="s">
        <v>85</v>
      </c>
      <c r="B36" s="8">
        <v>75</v>
      </c>
      <c r="I36" s="4" t="s">
        <v>0</v>
      </c>
      <c r="J36" s="7" t="s">
        <v>16</v>
      </c>
    </row>
    <row r="37" spans="1:10" x14ac:dyDescent="0.3">
      <c r="A37" s="2" t="s">
        <v>86</v>
      </c>
      <c r="B37" s="8">
        <v>24.98</v>
      </c>
      <c r="I37" s="2" t="s">
        <v>203</v>
      </c>
      <c r="J37" s="8">
        <f>178.67+1.1+1.74+1.56+3.28+0.92+22.62+47.14+2.18+151.34</f>
        <v>410.54999999999995</v>
      </c>
    </row>
    <row r="38" spans="1:10" x14ac:dyDescent="0.3">
      <c r="A38" s="2" t="s">
        <v>87</v>
      </c>
      <c r="B38" s="8">
        <v>27.44</v>
      </c>
      <c r="I38" s="2" t="s">
        <v>206</v>
      </c>
      <c r="J38" s="8">
        <v>210.38</v>
      </c>
    </row>
    <row r="39" spans="1:10" x14ac:dyDescent="0.3">
      <c r="A39" s="2" t="s">
        <v>93</v>
      </c>
      <c r="B39" s="8">
        <v>15</v>
      </c>
      <c r="I39" s="2" t="s">
        <v>208</v>
      </c>
      <c r="J39" s="8">
        <f>181.17+23.48+14.97</f>
        <v>219.61999999999998</v>
      </c>
    </row>
    <row r="40" spans="1:10" x14ac:dyDescent="0.3">
      <c r="A40" s="2" t="s">
        <v>66</v>
      </c>
      <c r="B40" s="8">
        <f>56.22+26.75</f>
        <v>82.97</v>
      </c>
      <c r="I40" s="2" t="s">
        <v>212</v>
      </c>
      <c r="J40" s="8">
        <v>13.98</v>
      </c>
    </row>
    <row r="41" spans="1:10" x14ac:dyDescent="0.3">
      <c r="A41" s="2" t="s">
        <v>95</v>
      </c>
      <c r="B41" s="8">
        <v>19.989999999999998</v>
      </c>
      <c r="I41" s="2" t="s">
        <v>217</v>
      </c>
      <c r="J41" s="8">
        <v>99.2</v>
      </c>
    </row>
    <row r="42" spans="1:10" x14ac:dyDescent="0.3">
      <c r="A42" s="2" t="s">
        <v>109</v>
      </c>
      <c r="B42" s="8">
        <v>30.77</v>
      </c>
      <c r="I42" s="2" t="s">
        <v>230</v>
      </c>
      <c r="J42" s="8">
        <v>48.8</v>
      </c>
    </row>
    <row r="43" spans="1:10" x14ac:dyDescent="0.3">
      <c r="A43" s="2" t="s">
        <v>120</v>
      </c>
      <c r="B43" s="8">
        <v>19.739999999999998</v>
      </c>
      <c r="I43" s="2" t="s">
        <v>53</v>
      </c>
      <c r="J43" s="8">
        <v>204</v>
      </c>
    </row>
    <row r="44" spans="1:10" x14ac:dyDescent="0.3">
      <c r="A44" s="2" t="s">
        <v>121</v>
      </c>
      <c r="B44" s="8">
        <v>60</v>
      </c>
      <c r="I44" s="2" t="s">
        <v>245</v>
      </c>
      <c r="J44" s="8">
        <v>33.43</v>
      </c>
    </row>
    <row r="45" spans="1:10" x14ac:dyDescent="0.3">
      <c r="A45" s="2" t="s">
        <v>124</v>
      </c>
      <c r="B45" s="8">
        <v>20</v>
      </c>
      <c r="I45" s="2" t="s">
        <v>248</v>
      </c>
      <c r="J45" s="8">
        <f>78.97+23.84+60.5+25+26+30.47+33.2+24.82+38.53</f>
        <v>341.33000000000004</v>
      </c>
    </row>
    <row r="46" spans="1:10" x14ac:dyDescent="0.3">
      <c r="A46" s="11" t="s">
        <v>16</v>
      </c>
      <c r="B46" s="12">
        <f>SUM(B26:B45)</f>
        <v>1609.67</v>
      </c>
      <c r="I46" s="2" t="s">
        <v>256</v>
      </c>
      <c r="J46" s="8">
        <f>41+58.5</f>
        <v>99.5</v>
      </c>
    </row>
    <row r="47" spans="1:10" x14ac:dyDescent="0.3">
      <c r="I47" s="2" t="s">
        <v>258</v>
      </c>
      <c r="J47" s="8">
        <v>84.24</v>
      </c>
    </row>
    <row r="48" spans="1:10" x14ac:dyDescent="0.3">
      <c r="I48" s="2"/>
      <c r="J48" s="8"/>
    </row>
    <row r="49" spans="1:12" ht="15.6" x14ac:dyDescent="0.3">
      <c r="A49" s="25" t="s">
        <v>57</v>
      </c>
      <c r="B49" s="25"/>
      <c r="I49" s="2"/>
      <c r="J49" s="8"/>
    </row>
    <row r="50" spans="1:12" x14ac:dyDescent="0.3">
      <c r="A50" s="4" t="s">
        <v>0</v>
      </c>
      <c r="B50" s="7" t="s">
        <v>16</v>
      </c>
      <c r="I50" s="2"/>
      <c r="J50" s="8"/>
    </row>
    <row r="51" spans="1:12" x14ac:dyDescent="0.3">
      <c r="A51" s="2" t="s">
        <v>58</v>
      </c>
      <c r="B51" s="8">
        <v>23.97</v>
      </c>
      <c r="I51" s="2"/>
      <c r="J51" s="8"/>
    </row>
    <row r="52" spans="1:12" x14ac:dyDescent="0.3">
      <c r="A52" s="2" t="s">
        <v>65</v>
      </c>
      <c r="B52" s="8">
        <v>8.9700000000000006</v>
      </c>
      <c r="I52" s="11" t="s">
        <v>16</v>
      </c>
      <c r="J52" s="12">
        <f>SUM(J37:J51)</f>
        <v>1765.03</v>
      </c>
    </row>
    <row r="53" spans="1:12" x14ac:dyDescent="0.3">
      <c r="A53" s="2" t="s">
        <v>83</v>
      </c>
      <c r="B53" s="8">
        <v>16.98</v>
      </c>
    </row>
    <row r="54" spans="1:12" x14ac:dyDescent="0.3">
      <c r="A54" s="2" t="s">
        <v>83</v>
      </c>
      <c r="B54" s="8">
        <v>16.98</v>
      </c>
    </row>
    <row r="55" spans="1:12" ht="15.6" x14ac:dyDescent="0.3">
      <c r="A55" s="2" t="s">
        <v>90</v>
      </c>
      <c r="B55" s="8">
        <v>6.87</v>
      </c>
      <c r="I55" s="26" t="s">
        <v>22</v>
      </c>
      <c r="J55" s="27"/>
    </row>
    <row r="56" spans="1:12" x14ac:dyDescent="0.3">
      <c r="A56" s="2" t="s">
        <v>83</v>
      </c>
      <c r="B56" s="8">
        <v>43.24</v>
      </c>
      <c r="I56" s="4" t="s">
        <v>0</v>
      </c>
      <c r="J56" s="7" t="s">
        <v>16</v>
      </c>
    </row>
    <row r="57" spans="1:12" x14ac:dyDescent="0.3">
      <c r="A57" s="2" t="s">
        <v>125</v>
      </c>
      <c r="B57" s="8">
        <v>45</v>
      </c>
      <c r="I57" s="23" t="s">
        <v>250</v>
      </c>
      <c r="J57" s="24"/>
    </row>
    <row r="58" spans="1:12" x14ac:dyDescent="0.3">
      <c r="A58" s="2"/>
      <c r="B58" s="8"/>
      <c r="I58" s="2" t="s">
        <v>21</v>
      </c>
      <c r="J58" s="8">
        <f>257.5+848.93+57.59</f>
        <v>1164.0199999999998</v>
      </c>
      <c r="L58" s="9"/>
    </row>
    <row r="59" spans="1:12" x14ac:dyDescent="0.3">
      <c r="A59" s="11" t="s">
        <v>16</v>
      </c>
      <c r="B59" s="12">
        <f>SUM(B51:B58)</f>
        <v>162.01000000000002</v>
      </c>
      <c r="I59" s="2" t="s">
        <v>25</v>
      </c>
      <c r="J59" s="8">
        <v>29.97</v>
      </c>
      <c r="L59" s="9"/>
    </row>
    <row r="60" spans="1:12" x14ac:dyDescent="0.3">
      <c r="I60" s="2" t="s">
        <v>26</v>
      </c>
      <c r="J60" s="8">
        <f>134.1+90+13.21+8.34+34.48</f>
        <v>280.13</v>
      </c>
    </row>
    <row r="61" spans="1:12" x14ac:dyDescent="0.3">
      <c r="B61"/>
      <c r="C61"/>
      <c r="I61" s="2" t="s">
        <v>28</v>
      </c>
      <c r="J61" s="8">
        <f>94.86+27.8+34.97</f>
        <v>157.63</v>
      </c>
    </row>
    <row r="62" spans="1:12" ht="15.6" x14ac:dyDescent="0.3">
      <c r="A62" s="25" t="s">
        <v>201</v>
      </c>
      <c r="B62" s="25"/>
      <c r="C62"/>
      <c r="D62"/>
      <c r="I62" s="2" t="s">
        <v>27</v>
      </c>
      <c r="J62" s="8">
        <v>108</v>
      </c>
    </row>
    <row r="63" spans="1:12" x14ac:dyDescent="0.3">
      <c r="A63" s="4" t="s">
        <v>0</v>
      </c>
      <c r="B63" s="7" t="s">
        <v>16</v>
      </c>
      <c r="C63"/>
      <c r="D63"/>
      <c r="I63" s="2" t="s">
        <v>20</v>
      </c>
      <c r="J63" s="8">
        <v>76.89</v>
      </c>
    </row>
    <row r="64" spans="1:12" x14ac:dyDescent="0.3">
      <c r="A64" s="2" t="s">
        <v>202</v>
      </c>
      <c r="B64" s="8">
        <v>593.30999999999995</v>
      </c>
      <c r="C64"/>
      <c r="D64"/>
      <c r="I64" s="2" t="s">
        <v>29</v>
      </c>
      <c r="J64" s="8">
        <f>19.99+52.75+14.96+14.96</f>
        <v>102.66</v>
      </c>
    </row>
    <row r="65" spans="1:12" x14ac:dyDescent="0.3">
      <c r="A65" s="2" t="s">
        <v>219</v>
      </c>
      <c r="B65" s="8">
        <v>504.52</v>
      </c>
      <c r="C65"/>
      <c r="D65"/>
      <c r="I65" s="2" t="s">
        <v>197</v>
      </c>
      <c r="J65" s="8">
        <v>260</v>
      </c>
    </row>
    <row r="66" spans="1:12" x14ac:dyDescent="0.3">
      <c r="A66" s="2" t="s">
        <v>218</v>
      </c>
      <c r="B66" s="8">
        <v>136.88</v>
      </c>
      <c r="C66"/>
      <c r="D66"/>
      <c r="I66" s="2" t="s">
        <v>198</v>
      </c>
      <c r="J66" s="8">
        <v>-1000</v>
      </c>
    </row>
    <row r="67" spans="1:12" x14ac:dyDescent="0.3">
      <c r="A67" s="11" t="s">
        <v>16</v>
      </c>
      <c r="B67" s="12">
        <f>SUM(B64:B66)</f>
        <v>1234.71</v>
      </c>
      <c r="C67"/>
      <c r="D67"/>
      <c r="I67" s="2" t="s">
        <v>231</v>
      </c>
      <c r="J67" s="8">
        <v>37.43</v>
      </c>
    </row>
    <row r="68" spans="1:12" x14ac:dyDescent="0.3">
      <c r="B68"/>
      <c r="C68"/>
      <c r="D68"/>
      <c r="I68" s="21" t="s">
        <v>251</v>
      </c>
      <c r="J68" s="22"/>
    </row>
    <row r="69" spans="1:12" x14ac:dyDescent="0.3">
      <c r="B69"/>
      <c r="C69"/>
      <c r="D69"/>
      <c r="I69" s="2" t="s">
        <v>77</v>
      </c>
      <c r="J69" s="8">
        <v>384.6</v>
      </c>
      <c r="L69" s="9"/>
    </row>
    <row r="70" spans="1:12" ht="15.6" x14ac:dyDescent="0.3">
      <c r="A70" s="25" t="s">
        <v>295</v>
      </c>
      <c r="B70" s="25"/>
      <c r="C70"/>
      <c r="D70"/>
      <c r="I70" s="2" t="s">
        <v>78</v>
      </c>
      <c r="J70" s="8">
        <v>683.9</v>
      </c>
      <c r="L70" s="9"/>
    </row>
    <row r="71" spans="1:12" x14ac:dyDescent="0.3">
      <c r="A71" s="4" t="s">
        <v>0</v>
      </c>
      <c r="B71" s="7" t="s">
        <v>16</v>
      </c>
      <c r="C71"/>
      <c r="D71"/>
      <c r="I71" s="2" t="s">
        <v>79</v>
      </c>
      <c r="J71" s="8">
        <v>1197.6000000000001</v>
      </c>
    </row>
    <row r="72" spans="1:12" x14ac:dyDescent="0.3">
      <c r="A72" s="2" t="s">
        <v>232</v>
      </c>
      <c r="B72" s="8">
        <v>16.600000000000001</v>
      </c>
      <c r="C72"/>
      <c r="D72"/>
      <c r="I72" s="2" t="s">
        <v>72</v>
      </c>
      <c r="J72" s="8">
        <v>121.83</v>
      </c>
    </row>
    <row r="73" spans="1:12" x14ac:dyDescent="0.3">
      <c r="A73" s="2" t="s">
        <v>273</v>
      </c>
      <c r="B73" s="8">
        <v>40</v>
      </c>
      <c r="C73"/>
      <c r="D73"/>
      <c r="I73" s="2" t="s">
        <v>220</v>
      </c>
      <c r="J73" s="8">
        <v>116.12</v>
      </c>
    </row>
    <row r="74" spans="1:12" x14ac:dyDescent="0.3">
      <c r="A74" s="2" t="s">
        <v>283</v>
      </c>
      <c r="B74" s="8">
        <v>82</v>
      </c>
      <c r="C74"/>
      <c r="D74"/>
      <c r="I74" s="2" t="s">
        <v>221</v>
      </c>
      <c r="J74" s="8">
        <v>272.27000000000004</v>
      </c>
    </row>
    <row r="75" spans="1:12" x14ac:dyDescent="0.3">
      <c r="A75" s="11" t="s">
        <v>16</v>
      </c>
      <c r="B75" s="12">
        <f>SUM(B72:B74)</f>
        <v>138.6</v>
      </c>
      <c r="C75"/>
      <c r="D75"/>
      <c r="I75" s="2" t="s">
        <v>76</v>
      </c>
      <c r="J75" s="8">
        <v>200</v>
      </c>
    </row>
    <row r="76" spans="1:12" x14ac:dyDescent="0.3">
      <c r="C76"/>
      <c r="D76"/>
      <c r="I76" s="2" t="s">
        <v>29</v>
      </c>
      <c r="J76" s="8">
        <v>253.63</v>
      </c>
    </row>
    <row r="77" spans="1:12" x14ac:dyDescent="0.3">
      <c r="C77"/>
      <c r="D77"/>
      <c r="I77" s="2" t="s">
        <v>222</v>
      </c>
      <c r="J77" s="8">
        <v>30</v>
      </c>
    </row>
    <row r="78" spans="1:12" ht="15.6" x14ac:dyDescent="0.3">
      <c r="A78" s="25" t="s">
        <v>260</v>
      </c>
      <c r="B78" s="25"/>
      <c r="D78"/>
      <c r="I78" s="2" t="s">
        <v>198</v>
      </c>
      <c r="J78" s="8">
        <v>-1629</v>
      </c>
    </row>
    <row r="79" spans="1:12" x14ac:dyDescent="0.3">
      <c r="A79" s="4" t="s">
        <v>0</v>
      </c>
      <c r="B79" s="7" t="s">
        <v>16</v>
      </c>
      <c r="I79" s="2" t="s">
        <v>271</v>
      </c>
      <c r="J79" s="8">
        <v>317.26</v>
      </c>
    </row>
    <row r="80" spans="1:12" x14ac:dyDescent="0.3">
      <c r="A80" s="2" t="s">
        <v>267</v>
      </c>
      <c r="B80" s="8">
        <f>113.13+29.07+9+98.98+15.98+44.98</f>
        <v>311.14000000000004</v>
      </c>
      <c r="I80" s="2" t="s">
        <v>280</v>
      </c>
      <c r="J80" s="8">
        <f>56.16+19.8</f>
        <v>75.959999999999994</v>
      </c>
    </row>
    <row r="81" spans="1:13" x14ac:dyDescent="0.3">
      <c r="A81" s="2" t="s">
        <v>262</v>
      </c>
      <c r="B81" s="8">
        <f>3.28+12.88+12.67+5.2+9.94+7.44+18.27+4.97+8.21+51.56+17.44+29.46+7.98+4.98+4.97+8.97+27.35</f>
        <v>235.56999999999996</v>
      </c>
      <c r="I81" s="11" t="s">
        <v>16</v>
      </c>
      <c r="J81" s="12">
        <f>SUM(J58:J80)</f>
        <v>3240.9000000000015</v>
      </c>
    </row>
    <row r="82" spans="1:13" x14ac:dyDescent="0.3">
      <c r="A82" s="2" t="s">
        <v>266</v>
      </c>
      <c r="B82" s="8">
        <f>13.28+5.56+5.98+27.89+7.2+4.68+3.98+20.57+8.2+1.1+2.18+25.97+6.47+6.98+8.77+32.65+26.95</f>
        <v>208.41000000000003</v>
      </c>
    </row>
    <row r="83" spans="1:13" x14ac:dyDescent="0.3">
      <c r="A83" s="2" t="s">
        <v>269</v>
      </c>
      <c r="B83" s="8">
        <f>19.92+20.43+35.58</f>
        <v>75.930000000000007</v>
      </c>
    </row>
    <row r="84" spans="1:13" ht="15.6" x14ac:dyDescent="0.3">
      <c r="A84" s="2" t="s">
        <v>140</v>
      </c>
      <c r="B84" s="8">
        <f>14.08+8.96+35.56+10.56+64.44+14.7+42.24+33.95+9.94+9.94+38.11+22.04+3.16+5.09+9.48</f>
        <v>322.25000000000006</v>
      </c>
      <c r="I84" s="10" t="s">
        <v>188</v>
      </c>
      <c r="J84" s="10"/>
    </row>
    <row r="85" spans="1:13" x14ac:dyDescent="0.3">
      <c r="A85" s="2" t="s">
        <v>263</v>
      </c>
      <c r="B85" s="8">
        <f>25.97+6.27+19.97+25.97+25.97</f>
        <v>104.14999999999999</v>
      </c>
      <c r="I85" s="4" t="s">
        <v>0</v>
      </c>
      <c r="J85" s="7" t="s">
        <v>16</v>
      </c>
    </row>
    <row r="86" spans="1:13" x14ac:dyDescent="0.3">
      <c r="A86" s="2" t="s">
        <v>264</v>
      </c>
      <c r="B86" s="8">
        <f>55.84+8.48</f>
        <v>64.320000000000007</v>
      </c>
      <c r="I86" s="2" t="s">
        <v>35</v>
      </c>
      <c r="J86" s="8">
        <f>34*5</f>
        <v>170</v>
      </c>
    </row>
    <row r="87" spans="1:13" x14ac:dyDescent="0.3">
      <c r="A87" s="2" t="s">
        <v>265</v>
      </c>
      <c r="B87" s="8">
        <f>5.48+9.78+4.54+9.28+44.01+10.78+3.98+6.16</f>
        <v>94.01</v>
      </c>
      <c r="I87" s="2" t="s">
        <v>199</v>
      </c>
      <c r="J87" s="8">
        <f>37*2</f>
        <v>74</v>
      </c>
    </row>
    <row r="88" spans="1:13" x14ac:dyDescent="0.3">
      <c r="A88" s="2" t="s">
        <v>268</v>
      </c>
      <c r="B88" s="8">
        <f>900+290.82</f>
        <v>1190.82</v>
      </c>
      <c r="I88" s="2" t="s">
        <v>40</v>
      </c>
      <c r="J88" s="8">
        <v>42.98</v>
      </c>
    </row>
    <row r="89" spans="1:13" x14ac:dyDescent="0.3">
      <c r="A89" s="2" t="s">
        <v>270</v>
      </c>
      <c r="B89" s="8">
        <f>35.99+35.99+79.99</f>
        <v>151.97</v>
      </c>
      <c r="I89" s="2"/>
      <c r="J89" s="8"/>
    </row>
    <row r="90" spans="1:13" x14ac:dyDescent="0.3">
      <c r="A90" s="2" t="s">
        <v>291</v>
      </c>
      <c r="B90" s="8">
        <v>60.02</v>
      </c>
      <c r="I90" s="2" t="s">
        <v>70</v>
      </c>
      <c r="J90" s="8">
        <v>100</v>
      </c>
    </row>
    <row r="91" spans="1:13" x14ac:dyDescent="0.3">
      <c r="A91" s="2" t="s">
        <v>282</v>
      </c>
      <c r="B91" s="8">
        <v>205</v>
      </c>
      <c r="I91" s="2" t="s">
        <v>86</v>
      </c>
      <c r="J91" s="8">
        <v>25.73</v>
      </c>
    </row>
    <row r="92" spans="1:13" x14ac:dyDescent="0.3">
      <c r="A92" s="11" t="s">
        <v>16</v>
      </c>
      <c r="B92" s="12">
        <f>SUM(B80:B89)</f>
        <v>2758.57</v>
      </c>
      <c r="I92" s="2" t="s">
        <v>190</v>
      </c>
      <c r="J92" s="8">
        <f>295/2-70</f>
        <v>77.5</v>
      </c>
    </row>
    <row r="93" spans="1:13" x14ac:dyDescent="0.3">
      <c r="I93" s="2" t="s">
        <v>242</v>
      </c>
      <c r="J93" s="8">
        <f>264+182.7+255+397.5+22.32+174.5+170.53+27.99-80-68.61-5-46.5</f>
        <v>1294.43</v>
      </c>
      <c r="M93" s="9"/>
    </row>
    <row r="94" spans="1:13" x14ac:dyDescent="0.3">
      <c r="I94" s="2" t="s">
        <v>226</v>
      </c>
      <c r="J94" s="8">
        <v>164</v>
      </c>
    </row>
    <row r="95" spans="1:13" ht="15.6" x14ac:dyDescent="0.3">
      <c r="A95" s="25" t="s">
        <v>274</v>
      </c>
      <c r="B95" s="25"/>
      <c r="I95" s="2" t="s">
        <v>237</v>
      </c>
      <c r="J95" s="8">
        <f>39+78+45</f>
        <v>162</v>
      </c>
      <c r="K95" s="15"/>
    </row>
    <row r="96" spans="1:13" x14ac:dyDescent="0.3">
      <c r="A96" s="4" t="s">
        <v>0</v>
      </c>
      <c r="B96" s="7" t="s">
        <v>16</v>
      </c>
      <c r="I96" s="2" t="s">
        <v>236</v>
      </c>
      <c r="J96" s="8">
        <v>347</v>
      </c>
      <c r="K96" s="15"/>
    </row>
    <row r="97" spans="1:11" x14ac:dyDescent="0.3">
      <c r="A97" s="2" t="s">
        <v>71</v>
      </c>
      <c r="B97" s="8">
        <v>21.92</v>
      </c>
      <c r="I97" s="2" t="s">
        <v>238</v>
      </c>
      <c r="J97" s="8">
        <v>135</v>
      </c>
      <c r="K97" s="15"/>
    </row>
    <row r="98" spans="1:11" x14ac:dyDescent="0.3">
      <c r="A98" s="2" t="s">
        <v>275</v>
      </c>
      <c r="B98" s="8">
        <f>52.35+14.98+7.98+15.96</f>
        <v>91.27000000000001</v>
      </c>
      <c r="I98" s="2" t="s">
        <v>239</v>
      </c>
      <c r="J98" s="8">
        <f>170+6.8</f>
        <v>176.8</v>
      </c>
    </row>
    <row r="99" spans="1:11" x14ac:dyDescent="0.3">
      <c r="A99" s="2" t="s">
        <v>276</v>
      </c>
      <c r="B99" s="8">
        <f>5.47+6.97+4.97</f>
        <v>17.41</v>
      </c>
      <c r="I99" s="2" t="s">
        <v>241</v>
      </c>
      <c r="J99" s="8">
        <f>45.9+137.7</f>
        <v>183.6</v>
      </c>
    </row>
    <row r="100" spans="1:11" x14ac:dyDescent="0.3">
      <c r="A100" s="2" t="s">
        <v>277</v>
      </c>
      <c r="B100" s="8">
        <f>57.25+8.48+6.68+8+22.75+10.32+3.54</f>
        <v>117.02</v>
      </c>
      <c r="I100" s="2" t="s">
        <v>249</v>
      </c>
      <c r="J100" s="8">
        <v>11.23</v>
      </c>
    </row>
    <row r="101" spans="1:11" x14ac:dyDescent="0.3">
      <c r="A101" s="2" t="s">
        <v>278</v>
      </c>
      <c r="B101" s="8">
        <v>209.96</v>
      </c>
      <c r="I101" s="2" t="s">
        <v>254</v>
      </c>
      <c r="J101" s="8">
        <f>115.5+173.25</f>
        <v>288.75</v>
      </c>
    </row>
    <row r="102" spans="1:11" x14ac:dyDescent="0.3">
      <c r="A102" s="2" t="s">
        <v>279</v>
      </c>
      <c r="B102" s="8">
        <f>130+28.36+7.09</f>
        <v>165.45000000000002</v>
      </c>
      <c r="I102" s="2"/>
      <c r="J102" s="8"/>
    </row>
    <row r="103" spans="1:11" x14ac:dyDescent="0.3">
      <c r="A103" s="2" t="s">
        <v>281</v>
      </c>
      <c r="B103" s="8">
        <f>58.87+44.42+54.99</f>
        <v>158.28</v>
      </c>
      <c r="I103" s="11" t="s">
        <v>16</v>
      </c>
      <c r="J103" s="12">
        <f>SUM(J86:J102)</f>
        <v>3253.0200000000004</v>
      </c>
    </row>
    <row r="104" spans="1:11" x14ac:dyDescent="0.3">
      <c r="A104" s="2" t="s">
        <v>284</v>
      </c>
      <c r="B104" s="8">
        <v>94</v>
      </c>
    </row>
    <row r="105" spans="1:11" ht="15.6" x14ac:dyDescent="0.3">
      <c r="A105" s="2"/>
      <c r="B105" s="8"/>
      <c r="I105" s="10" t="s">
        <v>294</v>
      </c>
      <c r="J105" s="10"/>
    </row>
    <row r="106" spans="1:11" x14ac:dyDescent="0.3">
      <c r="A106" s="2"/>
      <c r="B106" s="8"/>
      <c r="I106" s="4" t="s">
        <v>0</v>
      </c>
      <c r="J106" s="7" t="s">
        <v>16</v>
      </c>
    </row>
    <row r="107" spans="1:11" x14ac:dyDescent="0.3">
      <c r="A107" s="11" t="s">
        <v>16</v>
      </c>
      <c r="B107" s="12">
        <f>SUM(B97:B106)</f>
        <v>875.31000000000006</v>
      </c>
      <c r="I107" s="2" t="s">
        <v>43</v>
      </c>
      <c r="J107" s="8">
        <v>250.02</v>
      </c>
    </row>
    <row r="108" spans="1:11" x14ac:dyDescent="0.3">
      <c r="I108" s="2"/>
      <c r="J108" s="8"/>
    </row>
    <row r="109" spans="1:11" x14ac:dyDescent="0.3">
      <c r="I109" s="11" t="s">
        <v>16</v>
      </c>
      <c r="J109" s="12">
        <f>SUM(J107:J108)</f>
        <v>250.02</v>
      </c>
    </row>
    <row r="110" spans="1:11" ht="15.6" x14ac:dyDescent="0.3">
      <c r="A110" s="25" t="s">
        <v>285</v>
      </c>
      <c r="B110" s="25"/>
    </row>
    <row r="111" spans="1:11" x14ac:dyDescent="0.3">
      <c r="A111" s="4" t="s">
        <v>0</v>
      </c>
      <c r="B111" s="7" t="s">
        <v>16</v>
      </c>
    </row>
    <row r="112" spans="1:11" ht="15.6" x14ac:dyDescent="0.3">
      <c r="A112" s="2" t="s">
        <v>286</v>
      </c>
      <c r="B112" s="8">
        <f>60</f>
        <v>60</v>
      </c>
      <c r="I112" s="10" t="s">
        <v>44</v>
      </c>
      <c r="J112" s="10"/>
    </row>
    <row r="113" spans="1:11" x14ac:dyDescent="0.3">
      <c r="A113" s="2" t="s">
        <v>287</v>
      </c>
      <c r="B113" s="8">
        <v>48</v>
      </c>
      <c r="I113" s="4" t="s">
        <v>0</v>
      </c>
      <c r="J113" s="7" t="s">
        <v>16</v>
      </c>
    </row>
    <row r="114" spans="1:11" x14ac:dyDescent="0.3">
      <c r="A114" s="2" t="s">
        <v>288</v>
      </c>
      <c r="B114" s="8">
        <v>132</v>
      </c>
      <c r="I114" s="2" t="s">
        <v>45</v>
      </c>
      <c r="J114" s="8">
        <v>385</v>
      </c>
    </row>
    <row r="115" spans="1:11" x14ac:dyDescent="0.3">
      <c r="A115" s="2" t="s">
        <v>289</v>
      </c>
      <c r="B115" s="8">
        <v>132.5</v>
      </c>
      <c r="I115" s="2" t="s">
        <v>50</v>
      </c>
      <c r="J115" s="8">
        <v>1499.99</v>
      </c>
    </row>
    <row r="116" spans="1:11" x14ac:dyDescent="0.3">
      <c r="A116" s="2" t="s">
        <v>290</v>
      </c>
      <c r="B116" s="8">
        <f>20+72.39+23.96+385.93</f>
        <v>502.28</v>
      </c>
      <c r="I116" s="2"/>
      <c r="J116" s="8"/>
    </row>
    <row r="117" spans="1:11" x14ac:dyDescent="0.3">
      <c r="A117" s="2" t="s">
        <v>70</v>
      </c>
      <c r="B117" s="8">
        <f>229+9</f>
        <v>238</v>
      </c>
      <c r="I117" s="2"/>
      <c r="J117" s="8"/>
      <c r="K117" s="16"/>
    </row>
    <row r="118" spans="1:11" x14ac:dyDescent="0.3">
      <c r="A118" s="2"/>
      <c r="B118" s="8"/>
      <c r="I118" s="11" t="s">
        <v>16</v>
      </c>
      <c r="J118" s="12">
        <f>SUM(J114:J117)</f>
        <v>1884.99</v>
      </c>
    </row>
    <row r="119" spans="1:11" x14ac:dyDescent="0.3">
      <c r="A119" s="2"/>
      <c r="B119" s="8"/>
    </row>
    <row r="120" spans="1:11" x14ac:dyDescent="0.3">
      <c r="A120" s="2"/>
      <c r="B120" s="8"/>
    </row>
    <row r="121" spans="1:11" ht="15.6" x14ac:dyDescent="0.3">
      <c r="A121" s="2"/>
      <c r="B121" s="8"/>
      <c r="I121" s="10" t="s">
        <v>92</v>
      </c>
      <c r="J121" s="10"/>
    </row>
    <row r="122" spans="1:11" x14ac:dyDescent="0.3">
      <c r="A122" s="11" t="s">
        <v>16</v>
      </c>
      <c r="B122" s="12">
        <f>SUM(B112:B121)</f>
        <v>1112.78</v>
      </c>
      <c r="I122" s="4" t="s">
        <v>0</v>
      </c>
      <c r="J122" s="7" t="s">
        <v>16</v>
      </c>
    </row>
    <row r="123" spans="1:11" x14ac:dyDescent="0.3">
      <c r="I123" s="2" t="s">
        <v>67</v>
      </c>
      <c r="J123" s="8">
        <f>114+38+114</f>
        <v>266</v>
      </c>
    </row>
    <row r="124" spans="1:11" x14ac:dyDescent="0.3">
      <c r="I124" s="2" t="s">
        <v>70</v>
      </c>
      <c r="J124" s="8">
        <f>336+50</f>
        <v>386</v>
      </c>
    </row>
    <row r="125" spans="1:11" x14ac:dyDescent="0.3">
      <c r="I125" s="2" t="s">
        <v>88</v>
      </c>
      <c r="J125" s="8">
        <v>362.5</v>
      </c>
    </row>
    <row r="126" spans="1:11" x14ac:dyDescent="0.3">
      <c r="I126" s="2" t="s">
        <v>91</v>
      </c>
      <c r="J126" s="8">
        <v>110</v>
      </c>
    </row>
    <row r="127" spans="1:11" x14ac:dyDescent="0.3">
      <c r="I127" s="2"/>
      <c r="J127" s="8"/>
    </row>
    <row r="128" spans="1:11" x14ac:dyDescent="0.3">
      <c r="I128" s="2" t="s">
        <v>66</v>
      </c>
      <c r="J128" s="8">
        <f>35.79</f>
        <v>35.79</v>
      </c>
    </row>
    <row r="129" spans="9:10" x14ac:dyDescent="0.3">
      <c r="I129" s="2" t="s">
        <v>94</v>
      </c>
      <c r="J129" s="8">
        <f>9.97+2.49+25+3.97</f>
        <v>41.43</v>
      </c>
    </row>
    <row r="130" spans="9:10" x14ac:dyDescent="0.3">
      <c r="I130" s="2" t="s">
        <v>63</v>
      </c>
      <c r="J130" s="8">
        <v>13.76</v>
      </c>
    </row>
    <row r="131" spans="9:10" x14ac:dyDescent="0.3">
      <c r="I131" s="2" t="s">
        <v>96</v>
      </c>
      <c r="J131" s="8">
        <v>1891.04</v>
      </c>
    </row>
    <row r="132" spans="9:10" x14ac:dyDescent="0.3">
      <c r="I132" s="2" t="s">
        <v>97</v>
      </c>
      <c r="J132" s="8">
        <f>184.96-20</f>
        <v>164.96</v>
      </c>
    </row>
    <row r="133" spans="9:10" x14ac:dyDescent="0.3">
      <c r="I133" s="2" t="s">
        <v>103</v>
      </c>
      <c r="J133" s="8">
        <f>56.1</f>
        <v>56.1</v>
      </c>
    </row>
    <row r="134" spans="9:10" x14ac:dyDescent="0.3">
      <c r="I134" s="2" t="s">
        <v>98</v>
      </c>
      <c r="J134" s="8">
        <f>44.05+40</f>
        <v>84.05</v>
      </c>
    </row>
    <row r="135" spans="9:10" x14ac:dyDescent="0.3">
      <c r="I135" s="2" t="s">
        <v>99</v>
      </c>
      <c r="J135" s="8">
        <v>60.68</v>
      </c>
    </row>
    <row r="136" spans="9:10" x14ac:dyDescent="0.3">
      <c r="I136" s="2" t="s">
        <v>100</v>
      </c>
      <c r="J136" s="8">
        <v>362.5</v>
      </c>
    </row>
    <row r="137" spans="9:10" x14ac:dyDescent="0.3">
      <c r="I137" s="2" t="s">
        <v>101</v>
      </c>
      <c r="J137" s="8">
        <f>45.9</f>
        <v>45.9</v>
      </c>
    </row>
    <row r="138" spans="9:10" x14ac:dyDescent="0.3">
      <c r="I138" s="2" t="s">
        <v>102</v>
      </c>
      <c r="J138" s="8">
        <v>191.16</v>
      </c>
    </row>
    <row r="139" spans="9:10" x14ac:dyDescent="0.3">
      <c r="I139" s="2" t="s">
        <v>80</v>
      </c>
      <c r="J139" s="8">
        <v>153.79</v>
      </c>
    </row>
    <row r="140" spans="9:10" x14ac:dyDescent="0.3">
      <c r="I140" s="2" t="s">
        <v>87</v>
      </c>
      <c r="J140" s="8">
        <v>136.80000000000001</v>
      </c>
    </row>
    <row r="141" spans="9:10" x14ac:dyDescent="0.3">
      <c r="I141" s="2" t="s">
        <v>29</v>
      </c>
      <c r="J141" s="8">
        <f>8.77+8.77</f>
        <v>17.54</v>
      </c>
    </row>
    <row r="142" spans="9:10" x14ac:dyDescent="0.3">
      <c r="I142" s="2" t="s">
        <v>104</v>
      </c>
      <c r="J142" s="8">
        <f>3.71+23.1</f>
        <v>26.810000000000002</v>
      </c>
    </row>
    <row r="143" spans="9:10" x14ac:dyDescent="0.3">
      <c r="I143" s="2" t="s">
        <v>105</v>
      </c>
      <c r="J143" s="8">
        <v>149.9</v>
      </c>
    </row>
    <row r="144" spans="9:10" x14ac:dyDescent="0.3">
      <c r="I144" s="2" t="s">
        <v>101</v>
      </c>
      <c r="J144" s="8">
        <v>45.9</v>
      </c>
    </row>
    <row r="145" spans="9:10" x14ac:dyDescent="0.3">
      <c r="I145" s="2" t="s">
        <v>106</v>
      </c>
      <c r="J145" s="8">
        <f>-35.18+20.87+16.2+33.23-12.28+29.73+58.39+7.82</f>
        <v>118.78</v>
      </c>
    </row>
    <row r="146" spans="9:10" x14ac:dyDescent="0.3">
      <c r="I146" s="2" t="s">
        <v>107</v>
      </c>
      <c r="J146" s="8">
        <f>13.94+443.9+24.98</f>
        <v>482.82</v>
      </c>
    </row>
    <row r="147" spans="9:10" x14ac:dyDescent="0.3">
      <c r="I147" s="2" t="s">
        <v>71</v>
      </c>
      <c r="J147" s="8">
        <v>4500</v>
      </c>
    </row>
    <row r="148" spans="9:10" x14ac:dyDescent="0.3">
      <c r="I148" s="2" t="s">
        <v>108</v>
      </c>
      <c r="J148" s="8">
        <f>539.15+539.96</f>
        <v>1079.1100000000001</v>
      </c>
    </row>
    <row r="149" spans="9:10" x14ac:dyDescent="0.3">
      <c r="I149" s="2" t="s">
        <v>110</v>
      </c>
      <c r="J149" s="8">
        <v>38.93</v>
      </c>
    </row>
    <row r="150" spans="9:10" x14ac:dyDescent="0.3">
      <c r="I150" s="2" t="s">
        <v>111</v>
      </c>
      <c r="J150" s="8">
        <f>12.77+59+12.99+14.36+20.36+20.36+23.96</f>
        <v>163.79999999999998</v>
      </c>
    </row>
    <row r="151" spans="9:10" x14ac:dyDescent="0.3">
      <c r="I151" s="2" t="s">
        <v>112</v>
      </c>
      <c r="J151" s="8">
        <f>51.99+9.95+9.97+7.57+29.19+47.99</f>
        <v>156.66</v>
      </c>
    </row>
    <row r="152" spans="9:10" x14ac:dyDescent="0.3">
      <c r="I152" s="2" t="s">
        <v>113</v>
      </c>
      <c r="J152" s="8">
        <f>70.26+27.57+54.25</f>
        <v>152.08000000000001</v>
      </c>
    </row>
    <row r="153" spans="9:10" x14ac:dyDescent="0.3">
      <c r="I153" s="2" t="s">
        <v>114</v>
      </c>
      <c r="J153" s="8">
        <v>19.97</v>
      </c>
    </row>
    <row r="154" spans="9:10" x14ac:dyDescent="0.3">
      <c r="I154" s="2" t="s">
        <v>99</v>
      </c>
      <c r="J154" s="8">
        <f>41.54+36.36</f>
        <v>77.900000000000006</v>
      </c>
    </row>
    <row r="155" spans="9:10" x14ac:dyDescent="0.3">
      <c r="I155" s="2" t="s">
        <v>115</v>
      </c>
      <c r="J155" s="8">
        <v>80</v>
      </c>
    </row>
    <row r="156" spans="9:10" x14ac:dyDescent="0.3">
      <c r="I156" s="2" t="s">
        <v>116</v>
      </c>
      <c r="J156" s="8">
        <v>97.22</v>
      </c>
    </row>
    <row r="157" spans="9:10" x14ac:dyDescent="0.3">
      <c r="I157" s="2" t="s">
        <v>117</v>
      </c>
      <c r="J157" s="8">
        <v>10.98</v>
      </c>
    </row>
    <row r="158" spans="9:10" x14ac:dyDescent="0.3">
      <c r="I158" s="2" t="s">
        <v>118</v>
      </c>
      <c r="J158" s="8">
        <v>113.11</v>
      </c>
    </row>
    <row r="159" spans="9:10" x14ac:dyDescent="0.3">
      <c r="I159" s="2" t="s">
        <v>119</v>
      </c>
      <c r="J159" s="8">
        <f>49.25+7</f>
        <v>56.25</v>
      </c>
    </row>
    <row r="160" spans="9:10" x14ac:dyDescent="0.3">
      <c r="I160" s="2" t="s">
        <v>122</v>
      </c>
      <c r="J160" s="8">
        <f>66.25+7.85</f>
        <v>74.099999999999994</v>
      </c>
    </row>
    <row r="161" spans="9:10" x14ac:dyDescent="0.3">
      <c r="I161" s="2" t="s">
        <v>123</v>
      </c>
      <c r="J161" s="8">
        <f>10.27+10.27+9.98+3.98</f>
        <v>34.5</v>
      </c>
    </row>
    <row r="162" spans="9:10" x14ac:dyDescent="0.3">
      <c r="I162" s="2" t="s">
        <v>126</v>
      </c>
      <c r="J162" s="8">
        <v>55.2</v>
      </c>
    </row>
    <row r="163" spans="9:10" x14ac:dyDescent="0.3">
      <c r="I163" s="2" t="s">
        <v>127</v>
      </c>
      <c r="J163" s="8">
        <v>54.43</v>
      </c>
    </row>
    <row r="164" spans="9:10" x14ac:dyDescent="0.3">
      <c r="I164" s="2" t="s">
        <v>128</v>
      </c>
      <c r="J164" s="8">
        <v>975.2</v>
      </c>
    </row>
    <row r="165" spans="9:10" x14ac:dyDescent="0.3">
      <c r="I165" s="2" t="s">
        <v>129</v>
      </c>
      <c r="J165" s="8">
        <v>200</v>
      </c>
    </row>
    <row r="166" spans="9:10" x14ac:dyDescent="0.3">
      <c r="I166" s="2" t="s">
        <v>130</v>
      </c>
      <c r="J166" s="8">
        <v>149.97999999999999</v>
      </c>
    </row>
    <row r="167" spans="9:10" x14ac:dyDescent="0.3">
      <c r="I167" s="2" t="s">
        <v>131</v>
      </c>
      <c r="J167" s="8">
        <v>229.5</v>
      </c>
    </row>
    <row r="168" spans="9:10" x14ac:dyDescent="0.3">
      <c r="I168" s="2" t="s">
        <v>132</v>
      </c>
      <c r="J168" s="8">
        <f>786.24+62.4</f>
        <v>848.64</v>
      </c>
    </row>
    <row r="169" spans="9:10" x14ac:dyDescent="0.3">
      <c r="I169" s="2" t="s">
        <v>133</v>
      </c>
      <c r="J169" s="8">
        <f>659.99+12.27</f>
        <v>672.26</v>
      </c>
    </row>
    <row r="170" spans="9:10" x14ac:dyDescent="0.3">
      <c r="I170" s="2" t="s">
        <v>134</v>
      </c>
      <c r="J170" s="8">
        <f>6.7+14.52+30.81+205.95+362.34+221.22</f>
        <v>841.54</v>
      </c>
    </row>
    <row r="171" spans="9:10" x14ac:dyDescent="0.3">
      <c r="I171" s="2" t="s">
        <v>135</v>
      </c>
      <c r="J171" s="8">
        <f>73.36+33.76</f>
        <v>107.12</v>
      </c>
    </row>
    <row r="172" spans="9:10" x14ac:dyDescent="0.3">
      <c r="I172" s="2" t="s">
        <v>136</v>
      </c>
      <c r="J172" s="8">
        <f>10.24+40.71+174.24</f>
        <v>225.19</v>
      </c>
    </row>
    <row r="173" spans="9:10" x14ac:dyDescent="0.3">
      <c r="I173" s="2" t="s">
        <v>137</v>
      </c>
      <c r="J173" s="8">
        <f>9.17+11.44</f>
        <v>20.61</v>
      </c>
    </row>
    <row r="174" spans="9:10" x14ac:dyDescent="0.3">
      <c r="I174" s="2" t="s">
        <v>138</v>
      </c>
      <c r="J174" s="8">
        <v>25.5</v>
      </c>
    </row>
    <row r="175" spans="9:10" x14ac:dyDescent="0.3">
      <c r="I175" s="2" t="s">
        <v>139</v>
      </c>
      <c r="J175" s="8">
        <f>12.85+9.17</f>
        <v>22.02</v>
      </c>
    </row>
    <row r="176" spans="9:10" x14ac:dyDescent="0.3">
      <c r="I176" s="2" t="s">
        <v>131</v>
      </c>
      <c r="J176" s="8">
        <v>229.5</v>
      </c>
    </row>
    <row r="177" spans="9:10" x14ac:dyDescent="0.3">
      <c r="I177" s="2" t="s">
        <v>140</v>
      </c>
      <c r="J177" s="8">
        <f>234.08+40.84</f>
        <v>274.92</v>
      </c>
    </row>
    <row r="178" spans="9:10" x14ac:dyDescent="0.3">
      <c r="I178" s="2" t="s">
        <v>143</v>
      </c>
      <c r="J178" s="8">
        <v>24.97</v>
      </c>
    </row>
    <row r="179" spans="9:10" x14ac:dyDescent="0.3">
      <c r="I179" s="2" t="s">
        <v>141</v>
      </c>
      <c r="J179" s="8">
        <v>35.6</v>
      </c>
    </row>
    <row r="180" spans="9:10" x14ac:dyDescent="0.3">
      <c r="I180" s="2" t="s">
        <v>142</v>
      </c>
      <c r="J180" s="8">
        <v>5.75</v>
      </c>
    </row>
    <row r="181" spans="9:10" x14ac:dyDescent="0.3">
      <c r="I181" s="2" t="s">
        <v>272</v>
      </c>
      <c r="J181" s="8">
        <f>111.96+100.04</f>
        <v>212</v>
      </c>
    </row>
    <row r="182" spans="9:10" x14ac:dyDescent="0.3">
      <c r="I182" s="2" t="s">
        <v>178</v>
      </c>
      <c r="J182" s="8">
        <f>93.97+14.44+36.42</f>
        <v>144.82999999999998</v>
      </c>
    </row>
    <row r="183" spans="9:10" x14ac:dyDescent="0.3">
      <c r="I183" s="2" t="s">
        <v>179</v>
      </c>
      <c r="J183" s="8">
        <v>5.2</v>
      </c>
    </row>
    <row r="184" spans="9:10" x14ac:dyDescent="0.3">
      <c r="I184" s="2" t="s">
        <v>180</v>
      </c>
      <c r="J184" s="8">
        <v>50.79</v>
      </c>
    </row>
    <row r="185" spans="9:10" x14ac:dyDescent="0.3">
      <c r="I185" s="2" t="s">
        <v>119</v>
      </c>
      <c r="J185" s="8">
        <f>44.58+10.97</f>
        <v>55.55</v>
      </c>
    </row>
    <row r="186" spans="9:10" x14ac:dyDescent="0.3">
      <c r="I186" s="2" t="s">
        <v>181</v>
      </c>
      <c r="J186" s="8">
        <v>395</v>
      </c>
    </row>
    <row r="187" spans="9:10" x14ac:dyDescent="0.3">
      <c r="I187" s="2"/>
      <c r="J187" s="8"/>
    </row>
    <row r="188" spans="9:10" x14ac:dyDescent="0.3">
      <c r="I188" s="2" t="s">
        <v>193</v>
      </c>
      <c r="J188" s="8">
        <f>750+44.8-50+322.52+582</f>
        <v>1649.32</v>
      </c>
    </row>
    <row r="189" spans="9:10" x14ac:dyDescent="0.3">
      <c r="I189" s="2" t="s">
        <v>229</v>
      </c>
      <c r="J189" s="8">
        <f>5*3.3+199.8+49.5</f>
        <v>265.8</v>
      </c>
    </row>
    <row r="190" spans="9:10" x14ac:dyDescent="0.3">
      <c r="I190" s="2" t="s">
        <v>154</v>
      </c>
      <c r="J190" s="8">
        <v>108</v>
      </c>
    </row>
    <row r="191" spans="9:10" x14ac:dyDescent="0.3">
      <c r="I191" s="2" t="s">
        <v>234</v>
      </c>
      <c r="J191" s="8">
        <v>50.15</v>
      </c>
    </row>
    <row r="192" spans="9:10" x14ac:dyDescent="0.3">
      <c r="I192" s="2" t="s">
        <v>235</v>
      </c>
      <c r="J192" s="8">
        <v>48.94</v>
      </c>
    </row>
    <row r="193" spans="9:10" x14ac:dyDescent="0.3">
      <c r="I193" s="2"/>
      <c r="J193" s="8"/>
    </row>
    <row r="194" spans="9:10" x14ac:dyDescent="0.3">
      <c r="I194" s="2"/>
      <c r="J194" s="8"/>
    </row>
    <row r="195" spans="9:10" x14ac:dyDescent="0.3">
      <c r="I195" s="2"/>
      <c r="J195" s="8"/>
    </row>
    <row r="196" spans="9:10" x14ac:dyDescent="0.3">
      <c r="I196" s="2"/>
      <c r="J196" s="8"/>
    </row>
    <row r="197" spans="9:10" x14ac:dyDescent="0.3">
      <c r="I197" s="2"/>
      <c r="J197" s="8"/>
    </row>
    <row r="198" spans="9:10" x14ac:dyDescent="0.3">
      <c r="I198" s="2"/>
      <c r="J198" s="8"/>
    </row>
    <row r="199" spans="9:10" x14ac:dyDescent="0.3">
      <c r="I199" s="11" t="s">
        <v>16</v>
      </c>
      <c r="J199" s="12">
        <f>SUM(J123:J198)</f>
        <v>19842.330000000002</v>
      </c>
    </row>
    <row r="202" spans="9:10" ht="15.6" x14ac:dyDescent="0.3">
      <c r="I202" s="13" t="s">
        <v>293</v>
      </c>
      <c r="J202" s="14"/>
    </row>
    <row r="203" spans="9:10" x14ac:dyDescent="0.3">
      <c r="I203" s="4" t="s">
        <v>0</v>
      </c>
      <c r="J203" s="7" t="s">
        <v>16</v>
      </c>
    </row>
    <row r="204" spans="9:10" x14ac:dyDescent="0.3">
      <c r="I204" s="2" t="s">
        <v>67</v>
      </c>
      <c r="J204" s="8">
        <f>114+38</f>
        <v>152</v>
      </c>
    </row>
    <row r="205" spans="9:10" x14ac:dyDescent="0.3">
      <c r="I205" s="2" t="s">
        <v>70</v>
      </c>
      <c r="J205" s="8">
        <f>336+50</f>
        <v>386</v>
      </c>
    </row>
    <row r="206" spans="9:10" x14ac:dyDescent="0.3">
      <c r="I206" s="2" t="s">
        <v>91</v>
      </c>
      <c r="J206" s="8">
        <v>50</v>
      </c>
    </row>
    <row r="207" spans="9:10" x14ac:dyDescent="0.3">
      <c r="I207" s="2" t="s">
        <v>70</v>
      </c>
      <c r="J207" s="8">
        <v>60</v>
      </c>
    </row>
    <row r="208" spans="9:10" x14ac:dyDescent="0.3">
      <c r="I208" s="2"/>
      <c r="J208" s="8"/>
    </row>
    <row r="209" spans="9:10" x14ac:dyDescent="0.3">
      <c r="I209" s="2"/>
      <c r="J209" s="8"/>
    </row>
    <row r="210" spans="9:10" x14ac:dyDescent="0.3">
      <c r="I210" s="11" t="s">
        <v>16</v>
      </c>
      <c r="J210" s="12">
        <f>SUM(J204:J209)</f>
        <v>648</v>
      </c>
    </row>
    <row r="213" spans="9:10" ht="15.6" x14ac:dyDescent="0.3">
      <c r="I213" s="10" t="s">
        <v>186</v>
      </c>
      <c r="J213" s="10"/>
    </row>
    <row r="214" spans="9:10" x14ac:dyDescent="0.3">
      <c r="I214" s="4" t="s">
        <v>0</v>
      </c>
      <c r="J214" s="7" t="s">
        <v>16</v>
      </c>
    </row>
    <row r="215" spans="9:10" x14ac:dyDescent="0.3">
      <c r="I215" s="2" t="s">
        <v>187</v>
      </c>
      <c r="J215" s="8">
        <f>230.23+29.59+13.51</f>
        <v>273.33</v>
      </c>
    </row>
    <row r="216" spans="9:10" x14ac:dyDescent="0.3">
      <c r="I216" s="2" t="s">
        <v>192</v>
      </c>
      <c r="J216" s="8">
        <v>200</v>
      </c>
    </row>
    <row r="217" spans="9:10" x14ac:dyDescent="0.3">
      <c r="I217" s="2" t="s">
        <v>211</v>
      </c>
      <c r="J217" s="8">
        <v>22.5</v>
      </c>
    </row>
    <row r="218" spans="9:10" x14ac:dyDescent="0.3">
      <c r="I218" s="2" t="s">
        <v>210</v>
      </c>
      <c r="J218" s="8">
        <f>10.2+1.73+2.94+4.55+2.5+5.83+5.98</f>
        <v>33.730000000000004</v>
      </c>
    </row>
    <row r="219" spans="9:10" x14ac:dyDescent="0.3">
      <c r="I219" s="2" t="s">
        <v>233</v>
      </c>
      <c r="J219" s="8">
        <v>25.65</v>
      </c>
    </row>
    <row r="220" spans="9:10" x14ac:dyDescent="0.3">
      <c r="I220" s="2" t="s">
        <v>224</v>
      </c>
      <c r="J220" s="8">
        <f>204/2</f>
        <v>102</v>
      </c>
    </row>
    <row r="221" spans="9:10" x14ac:dyDescent="0.3">
      <c r="I221" s="2" t="s">
        <v>244</v>
      </c>
      <c r="J221" s="8">
        <f>742.9-136</f>
        <v>606.9</v>
      </c>
    </row>
    <row r="222" spans="9:10" x14ac:dyDescent="0.3">
      <c r="I222" s="2" t="s">
        <v>247</v>
      </c>
      <c r="J222" s="8">
        <f>27.97*2</f>
        <v>55.94</v>
      </c>
    </row>
    <row r="223" spans="9:10" x14ac:dyDescent="0.3">
      <c r="I223" s="2" t="s">
        <v>252</v>
      </c>
      <c r="J223" s="8">
        <v>199.99</v>
      </c>
    </row>
    <row r="224" spans="9:10" x14ac:dyDescent="0.3">
      <c r="I224" s="2" t="s">
        <v>261</v>
      </c>
      <c r="J224" s="8">
        <v>70.34</v>
      </c>
    </row>
    <row r="225" spans="9:10" x14ac:dyDescent="0.3">
      <c r="I225" s="2"/>
      <c r="J225" s="8"/>
    </row>
    <row r="226" spans="9:10" x14ac:dyDescent="0.3">
      <c r="I226" s="11" t="s">
        <v>16</v>
      </c>
      <c r="J226" s="12">
        <f>SUM(J215:J225)</f>
        <v>1590.3799999999999</v>
      </c>
    </row>
    <row r="229" spans="9:10" ht="15.6" x14ac:dyDescent="0.3">
      <c r="I229" s="10" t="s">
        <v>191</v>
      </c>
      <c r="J229" s="10"/>
    </row>
    <row r="230" spans="9:10" x14ac:dyDescent="0.3">
      <c r="I230" s="4" t="s">
        <v>0</v>
      </c>
      <c r="J230" s="7" t="s">
        <v>16</v>
      </c>
    </row>
    <row r="231" spans="9:10" x14ac:dyDescent="0.3">
      <c r="I231" s="2" t="s">
        <v>207</v>
      </c>
      <c r="J231" s="8">
        <f>295/2+70</f>
        <v>217.5</v>
      </c>
    </row>
    <row r="232" spans="9:10" x14ac:dyDescent="0.3">
      <c r="I232" s="2" t="s">
        <v>194</v>
      </c>
      <c r="J232" s="8">
        <v>24.52</v>
      </c>
    </row>
    <row r="233" spans="9:10" x14ac:dyDescent="0.3">
      <c r="I233" s="2" t="s">
        <v>195</v>
      </c>
      <c r="J233" s="8">
        <f>1249-135.8</f>
        <v>1113.2</v>
      </c>
    </row>
    <row r="234" spans="9:10" x14ac:dyDescent="0.3">
      <c r="I234" s="2" t="s">
        <v>196</v>
      </c>
      <c r="J234" s="8">
        <f>52.85+22.96+15.64</f>
        <v>91.45</v>
      </c>
    </row>
    <row r="235" spans="9:10" x14ac:dyDescent="0.3">
      <c r="I235" s="2" t="s">
        <v>86</v>
      </c>
      <c r="J235" s="8">
        <f>25.73+92.68</f>
        <v>118.41000000000001</v>
      </c>
    </row>
    <row r="236" spans="9:10" x14ac:dyDescent="0.3">
      <c r="I236" s="2" t="s">
        <v>200</v>
      </c>
      <c r="J236" s="8">
        <v>37</v>
      </c>
    </row>
    <row r="237" spans="9:10" x14ac:dyDescent="0.3">
      <c r="I237" s="2" t="s">
        <v>69</v>
      </c>
      <c r="J237" s="8">
        <f>185+11.6</f>
        <v>196.6</v>
      </c>
    </row>
    <row r="238" spans="9:10" x14ac:dyDescent="0.3">
      <c r="I238" s="2" t="s">
        <v>213</v>
      </c>
      <c r="J238" s="8">
        <f>33*3.39</f>
        <v>111.87</v>
      </c>
    </row>
    <row r="239" spans="9:10" x14ac:dyDescent="0.3">
      <c r="I239" s="2" t="s">
        <v>214</v>
      </c>
      <c r="J239" s="8">
        <f>5.37*11</f>
        <v>59.07</v>
      </c>
    </row>
    <row r="240" spans="9:10" x14ac:dyDescent="0.3">
      <c r="I240" s="2" t="s">
        <v>215</v>
      </c>
      <c r="J240" s="8">
        <f>24*3.04</f>
        <v>72.960000000000008</v>
      </c>
    </row>
    <row r="241" spans="9:10" x14ac:dyDescent="0.3">
      <c r="I241" s="2" t="s">
        <v>216</v>
      </c>
      <c r="J241" s="8">
        <f>3.47+13.92</f>
        <v>17.39</v>
      </c>
    </row>
    <row r="242" spans="9:10" x14ac:dyDescent="0.3">
      <c r="I242" s="2" t="s">
        <v>224</v>
      </c>
      <c r="J242" s="8">
        <f>204/2</f>
        <v>102</v>
      </c>
    </row>
    <row r="243" spans="9:10" x14ac:dyDescent="0.3">
      <c r="I243" s="2" t="s">
        <v>225</v>
      </c>
      <c r="J243" s="8">
        <f>96</f>
        <v>96</v>
      </c>
    </row>
    <row r="244" spans="9:10" x14ac:dyDescent="0.3">
      <c r="I244" s="2" t="s">
        <v>227</v>
      </c>
      <c r="J244" s="8">
        <v>32</v>
      </c>
    </row>
    <row r="245" spans="9:10" x14ac:dyDescent="0.3">
      <c r="I245" s="2"/>
      <c r="J245" s="8"/>
    </row>
    <row r="246" spans="9:10" x14ac:dyDescent="0.3">
      <c r="I246" s="11" t="s">
        <v>16</v>
      </c>
      <c r="J246" s="12">
        <f>SUM(J231:J245)</f>
        <v>2289.9700000000003</v>
      </c>
    </row>
    <row r="249" spans="9:10" ht="15.6" x14ac:dyDescent="0.3">
      <c r="I249" s="10" t="s">
        <v>292</v>
      </c>
      <c r="J249" s="10"/>
    </row>
    <row r="250" spans="9:10" x14ac:dyDescent="0.3">
      <c r="I250" s="4" t="s">
        <v>0</v>
      </c>
      <c r="J250" s="7" t="s">
        <v>16</v>
      </c>
    </row>
    <row r="251" spans="9:10" x14ac:dyDescent="0.3">
      <c r="I251" s="2" t="s">
        <v>210</v>
      </c>
      <c r="J251" s="8">
        <f>51.64+14.32+33.46+35.68+7.04+6.75</f>
        <v>148.89000000000001</v>
      </c>
    </row>
    <row r="252" spans="9:10" x14ac:dyDescent="0.3">
      <c r="I252" s="2"/>
      <c r="J252" s="8"/>
    </row>
    <row r="253" spans="9:10" x14ac:dyDescent="0.3">
      <c r="I253" s="2"/>
      <c r="J253" s="8"/>
    </row>
    <row r="254" spans="9:10" x14ac:dyDescent="0.3">
      <c r="I254" s="2"/>
      <c r="J254" s="8"/>
    </row>
    <row r="255" spans="9:10" x14ac:dyDescent="0.3">
      <c r="I255" s="11" t="s">
        <v>16</v>
      </c>
      <c r="J255" s="12">
        <f>SUM(J251:J254)</f>
        <v>148.89000000000001</v>
      </c>
    </row>
  </sheetData>
  <mergeCells count="12">
    <mergeCell ref="A110:B110"/>
    <mergeCell ref="A95:B95"/>
    <mergeCell ref="I1:J1"/>
    <mergeCell ref="I55:J55"/>
    <mergeCell ref="A6:B6"/>
    <mergeCell ref="A24:B24"/>
    <mergeCell ref="A1:B1"/>
    <mergeCell ref="A78:B78"/>
    <mergeCell ref="A70:B70"/>
    <mergeCell ref="A62:B62"/>
    <mergeCell ref="I35:J35"/>
    <mergeCell ref="A49:B49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CA43E-28D9-4F41-8834-C284DBA8676A}">
  <dimension ref="A1:F43"/>
  <sheetViews>
    <sheetView topLeftCell="A24" workbookViewId="0">
      <selection activeCell="D45" sqref="D45"/>
    </sheetView>
  </sheetViews>
  <sheetFormatPr defaultRowHeight="14.4" x14ac:dyDescent="0.3"/>
  <cols>
    <col min="1" max="1" width="34.77734375" bestFit="1" customWidth="1"/>
    <col min="4" max="4" width="9.109375" bestFit="1" customWidth="1"/>
  </cols>
  <sheetData>
    <row r="1" spans="1:6" ht="15.6" x14ac:dyDescent="0.3">
      <c r="A1" s="25" t="s">
        <v>11</v>
      </c>
      <c r="B1" s="25"/>
      <c r="C1" s="25"/>
      <c r="D1" s="25"/>
    </row>
    <row r="2" spans="1:6" x14ac:dyDescent="0.3">
      <c r="A2" s="4" t="s">
        <v>0</v>
      </c>
      <c r="B2" s="5" t="s">
        <v>1</v>
      </c>
      <c r="C2" s="7" t="s">
        <v>2</v>
      </c>
      <c r="D2" s="7" t="s">
        <v>3</v>
      </c>
      <c r="E2" s="3"/>
      <c r="F2" s="3"/>
    </row>
    <row r="3" spans="1:6" x14ac:dyDescent="0.3">
      <c r="A3" s="2" t="s">
        <v>4</v>
      </c>
      <c r="B3" s="6">
        <v>10</v>
      </c>
      <c r="C3" s="8">
        <v>18.989999999999998</v>
      </c>
      <c r="D3" s="8">
        <f>C3*B3</f>
        <v>189.89999999999998</v>
      </c>
      <c r="E3">
        <v>11</v>
      </c>
      <c r="F3" s="9">
        <f>E3*C3</f>
        <v>208.89</v>
      </c>
    </row>
    <row r="4" spans="1:6" x14ac:dyDescent="0.3">
      <c r="A4" s="2" t="s">
        <v>5</v>
      </c>
      <c r="B4" s="6">
        <v>36</v>
      </c>
      <c r="C4" s="8">
        <v>6.99</v>
      </c>
      <c r="D4" s="8">
        <f t="shared" ref="D4:D10" si="0">C4*B4</f>
        <v>251.64000000000001</v>
      </c>
      <c r="E4">
        <v>44</v>
      </c>
      <c r="F4" s="9">
        <f>E4*C4</f>
        <v>307.56</v>
      </c>
    </row>
    <row r="5" spans="1:6" x14ac:dyDescent="0.3">
      <c r="A5" s="2" t="s">
        <v>6</v>
      </c>
      <c r="B5" s="6">
        <v>140</v>
      </c>
      <c r="C5" s="8">
        <v>3.99</v>
      </c>
      <c r="D5" s="8">
        <f t="shared" si="0"/>
        <v>558.6</v>
      </c>
      <c r="E5">
        <v>160</v>
      </c>
      <c r="F5" s="9">
        <f>E5*C5</f>
        <v>638.40000000000009</v>
      </c>
    </row>
    <row r="6" spans="1:6" x14ac:dyDescent="0.3">
      <c r="A6" s="2" t="s">
        <v>7</v>
      </c>
      <c r="B6" s="6">
        <v>1</v>
      </c>
      <c r="C6" s="8">
        <v>56</v>
      </c>
      <c r="D6" s="8">
        <f t="shared" si="0"/>
        <v>56</v>
      </c>
    </row>
    <row r="7" spans="1:6" x14ac:dyDescent="0.3">
      <c r="A7" s="2" t="s">
        <v>13</v>
      </c>
      <c r="B7" s="6">
        <v>1</v>
      </c>
      <c r="C7" s="8">
        <v>50</v>
      </c>
      <c r="D7" s="8">
        <f t="shared" si="0"/>
        <v>50</v>
      </c>
    </row>
    <row r="8" spans="1:6" x14ac:dyDescent="0.3">
      <c r="A8" s="2" t="s">
        <v>8</v>
      </c>
      <c r="B8" s="6">
        <v>1</v>
      </c>
      <c r="C8" s="8">
        <v>36</v>
      </c>
      <c r="D8" s="8">
        <f t="shared" si="0"/>
        <v>36</v>
      </c>
    </row>
    <row r="9" spans="1:6" x14ac:dyDescent="0.3">
      <c r="A9" s="2" t="s">
        <v>9</v>
      </c>
      <c r="B9" s="6">
        <v>5</v>
      </c>
      <c r="C9" s="8">
        <v>25</v>
      </c>
      <c r="D9" s="8">
        <f t="shared" si="0"/>
        <v>125</v>
      </c>
    </row>
    <row r="10" spans="1:6" x14ac:dyDescent="0.3">
      <c r="A10" s="2" t="s">
        <v>20</v>
      </c>
      <c r="B10" s="6">
        <v>10</v>
      </c>
      <c r="C10" s="8">
        <v>6.99</v>
      </c>
      <c r="D10" s="8">
        <f t="shared" si="0"/>
        <v>69.900000000000006</v>
      </c>
      <c r="E10">
        <f>800</f>
        <v>800</v>
      </c>
    </row>
    <row r="11" spans="1:6" x14ac:dyDescent="0.3">
      <c r="A11" s="2"/>
      <c r="B11" s="6"/>
      <c r="C11" s="8"/>
      <c r="D11" s="8">
        <f>SUM(D3:D10)</f>
        <v>1337.04</v>
      </c>
    </row>
    <row r="12" spans="1:6" x14ac:dyDescent="0.3">
      <c r="A12" s="2"/>
      <c r="B12" s="6"/>
      <c r="C12" s="8"/>
      <c r="D12" s="8"/>
    </row>
    <row r="13" spans="1:6" x14ac:dyDescent="0.3">
      <c r="A13" s="2"/>
      <c r="B13" s="6"/>
      <c r="C13" s="8"/>
      <c r="D13" s="8"/>
    </row>
    <row r="14" spans="1:6" ht="15.6" x14ac:dyDescent="0.3">
      <c r="A14" s="25" t="s">
        <v>10</v>
      </c>
      <c r="B14" s="25"/>
      <c r="C14" s="25"/>
      <c r="D14" s="25"/>
    </row>
    <row r="15" spans="1:6" x14ac:dyDescent="0.3">
      <c r="A15" s="4" t="s">
        <v>0</v>
      </c>
      <c r="B15" s="5" t="s">
        <v>1</v>
      </c>
      <c r="C15" s="7" t="s">
        <v>2</v>
      </c>
      <c r="D15" s="7" t="s">
        <v>3</v>
      </c>
      <c r="E15" t="s">
        <v>74</v>
      </c>
      <c r="F15" t="s">
        <v>73</v>
      </c>
    </row>
    <row r="16" spans="1:6" x14ac:dyDescent="0.3">
      <c r="A16" s="2" t="s">
        <v>77</v>
      </c>
      <c r="B16" s="6">
        <v>15</v>
      </c>
      <c r="C16" s="8">
        <v>18.670000000000002</v>
      </c>
      <c r="D16" s="8">
        <f>C16*B16</f>
        <v>280.05</v>
      </c>
      <c r="E16">
        <v>18.670000000000002</v>
      </c>
    </row>
    <row r="17" spans="1:6" x14ac:dyDescent="0.3">
      <c r="A17" s="2" t="s">
        <v>78</v>
      </c>
      <c r="B17" s="6">
        <v>70</v>
      </c>
      <c r="C17" s="8">
        <v>10.67</v>
      </c>
      <c r="D17" s="8">
        <f t="shared" ref="D17:D22" si="1">C17*B17</f>
        <v>746.9</v>
      </c>
      <c r="F17">
        <v>10.67</v>
      </c>
    </row>
    <row r="18" spans="1:6" x14ac:dyDescent="0.3">
      <c r="A18" s="2" t="s">
        <v>79</v>
      </c>
      <c r="B18" s="6">
        <f>15*16</f>
        <v>240</v>
      </c>
      <c r="C18" s="8">
        <v>4.99</v>
      </c>
      <c r="D18" s="8">
        <f t="shared" si="1"/>
        <v>1197.6000000000001</v>
      </c>
      <c r="E18">
        <v>3.99</v>
      </c>
      <c r="F18">
        <v>4.99</v>
      </c>
    </row>
    <row r="19" spans="1:6" x14ac:dyDescent="0.3">
      <c r="A19" s="2" t="s">
        <v>12</v>
      </c>
      <c r="B19" s="6">
        <v>1</v>
      </c>
      <c r="C19" s="8">
        <v>112</v>
      </c>
      <c r="D19" s="8">
        <f t="shared" si="1"/>
        <v>112</v>
      </c>
    </row>
    <row r="20" spans="1:6" x14ac:dyDescent="0.3">
      <c r="A20" s="2" t="s">
        <v>14</v>
      </c>
      <c r="B20" s="6">
        <v>1</v>
      </c>
      <c r="C20" s="8">
        <v>120</v>
      </c>
      <c r="D20" s="8">
        <f t="shared" si="1"/>
        <v>120</v>
      </c>
    </row>
    <row r="21" spans="1:6" x14ac:dyDescent="0.3">
      <c r="A21" s="2" t="s">
        <v>72</v>
      </c>
      <c r="B21" s="6">
        <v>16</v>
      </c>
      <c r="C21" s="8">
        <v>6.99</v>
      </c>
      <c r="D21" s="8">
        <f t="shared" si="1"/>
        <v>111.84</v>
      </c>
    </row>
    <row r="22" spans="1:6" x14ac:dyDescent="0.3">
      <c r="A22" s="2" t="s">
        <v>9</v>
      </c>
      <c r="B22" s="6">
        <v>15</v>
      </c>
      <c r="C22" s="8">
        <v>32</v>
      </c>
      <c r="D22" s="8">
        <f t="shared" si="1"/>
        <v>480</v>
      </c>
    </row>
    <row r="23" spans="1:6" x14ac:dyDescent="0.3">
      <c r="A23" s="2" t="s">
        <v>71</v>
      </c>
      <c r="B23" s="6">
        <v>20</v>
      </c>
      <c r="C23" s="8">
        <v>4.25</v>
      </c>
      <c r="D23" s="8">
        <f>C23*B23</f>
        <v>85</v>
      </c>
      <c r="E23" s="9"/>
    </row>
    <row r="24" spans="1:6" x14ac:dyDescent="0.3">
      <c r="A24" s="2" t="s">
        <v>76</v>
      </c>
      <c r="B24" s="6">
        <v>1</v>
      </c>
      <c r="C24" s="8">
        <v>100</v>
      </c>
      <c r="D24" s="8">
        <f>C24*B24</f>
        <v>100</v>
      </c>
    </row>
    <row r="25" spans="1:6" x14ac:dyDescent="0.3">
      <c r="A25" s="28" t="s">
        <v>16</v>
      </c>
      <c r="B25" s="29"/>
      <c r="C25" s="30"/>
      <c r="D25" s="12">
        <f>SUM(D16:D24)</f>
        <v>3233.3900000000003</v>
      </c>
      <c r="F25" s="9"/>
    </row>
    <row r="26" spans="1:6" x14ac:dyDescent="0.3">
      <c r="A26" s="28" t="s">
        <v>75</v>
      </c>
      <c r="B26" s="29"/>
      <c r="C26" s="30"/>
      <c r="D26" s="8">
        <f>D25/2</f>
        <v>1616.6950000000002</v>
      </c>
    </row>
    <row r="27" spans="1:6" x14ac:dyDescent="0.3">
      <c r="B27" s="1"/>
      <c r="C27" s="9"/>
      <c r="D27" s="9">
        <f>1650*2</f>
        <v>3300</v>
      </c>
    </row>
    <row r="28" spans="1:6" x14ac:dyDescent="0.3">
      <c r="D28" s="9"/>
    </row>
    <row r="30" spans="1:6" ht="15.6" x14ac:dyDescent="0.3">
      <c r="A30" s="25" t="s">
        <v>223</v>
      </c>
      <c r="B30" s="25"/>
      <c r="C30" s="25"/>
      <c r="D30" s="25"/>
    </row>
    <row r="31" spans="1:6" x14ac:dyDescent="0.3">
      <c r="A31" s="4" t="s">
        <v>0</v>
      </c>
      <c r="B31" s="5" t="s">
        <v>1</v>
      </c>
      <c r="C31" s="7" t="s">
        <v>2</v>
      </c>
      <c r="D31" s="7" t="s">
        <v>3</v>
      </c>
    </row>
    <row r="32" spans="1:6" x14ac:dyDescent="0.3">
      <c r="A32" s="2" t="s">
        <v>77</v>
      </c>
      <c r="B32" s="6">
        <v>20</v>
      </c>
      <c r="C32" s="8">
        <v>19.23</v>
      </c>
      <c r="D32" s="8">
        <f>C32*B32</f>
        <v>384.6</v>
      </c>
    </row>
    <row r="33" spans="1:4" x14ac:dyDescent="0.3">
      <c r="A33" s="2" t="s">
        <v>78</v>
      </c>
      <c r="B33" s="6">
        <v>70</v>
      </c>
      <c r="C33" s="8">
        <v>9.77</v>
      </c>
      <c r="D33" s="8">
        <f>C33*B33</f>
        <v>683.9</v>
      </c>
    </row>
    <row r="34" spans="1:4" x14ac:dyDescent="0.3">
      <c r="A34" s="2" t="s">
        <v>79</v>
      </c>
      <c r="B34" s="6">
        <f>15*16</f>
        <v>240</v>
      </c>
      <c r="C34" s="8">
        <v>4.99</v>
      </c>
      <c r="D34" s="8">
        <f t="shared" ref="D34:D36" si="2">C34*B34</f>
        <v>1197.6000000000001</v>
      </c>
    </row>
    <row r="35" spans="1:4" x14ac:dyDescent="0.3">
      <c r="A35" s="2" t="s">
        <v>72</v>
      </c>
      <c r="B35" s="6">
        <v>1</v>
      </c>
      <c r="C35" s="8">
        <v>121.83</v>
      </c>
      <c r="D35" s="8">
        <f t="shared" si="2"/>
        <v>121.83</v>
      </c>
    </row>
    <row r="36" spans="1:4" x14ac:dyDescent="0.3">
      <c r="A36" s="2" t="s">
        <v>220</v>
      </c>
      <c r="B36" s="6">
        <v>1</v>
      </c>
      <c r="C36" s="8">
        <f>38.99+77.13</f>
        <v>116.12</v>
      </c>
      <c r="D36" s="8">
        <f t="shared" si="2"/>
        <v>116.12</v>
      </c>
    </row>
    <row r="37" spans="1:4" x14ac:dyDescent="0.3">
      <c r="A37" s="2" t="s">
        <v>221</v>
      </c>
      <c r="B37" s="6">
        <v>1</v>
      </c>
      <c r="C37" s="8">
        <f>30.51+29.2+197.96+14.6</f>
        <v>272.27000000000004</v>
      </c>
      <c r="D37" s="8">
        <f>C37*B37</f>
        <v>272.27000000000004</v>
      </c>
    </row>
    <row r="38" spans="1:4" x14ac:dyDescent="0.3">
      <c r="A38" s="2" t="s">
        <v>76</v>
      </c>
      <c r="B38" s="6">
        <v>1</v>
      </c>
      <c r="C38" s="8">
        <v>200</v>
      </c>
      <c r="D38" s="8">
        <f>C38*B38</f>
        <v>200</v>
      </c>
    </row>
    <row r="39" spans="1:4" x14ac:dyDescent="0.3">
      <c r="A39" s="2" t="s">
        <v>29</v>
      </c>
      <c r="B39" s="6">
        <v>1</v>
      </c>
      <c r="C39" s="8">
        <f>203.66+49.97</f>
        <v>253.63</v>
      </c>
      <c r="D39" s="8">
        <f t="shared" ref="D39:D40" si="3">C39*B39</f>
        <v>253.63</v>
      </c>
    </row>
    <row r="40" spans="1:4" x14ac:dyDescent="0.3">
      <c r="A40" s="2" t="s">
        <v>222</v>
      </c>
      <c r="B40" s="6">
        <v>1</v>
      </c>
      <c r="C40" s="8">
        <v>30</v>
      </c>
      <c r="D40" s="8">
        <f t="shared" si="3"/>
        <v>30</v>
      </c>
    </row>
    <row r="41" spans="1:4" x14ac:dyDescent="0.3">
      <c r="A41" s="28" t="s">
        <v>16</v>
      </c>
      <c r="B41" s="29"/>
      <c r="C41" s="30"/>
      <c r="D41" s="12">
        <f>SUM(D32:D40)</f>
        <v>3259.9500000000003</v>
      </c>
    </row>
    <row r="42" spans="1:4" x14ac:dyDescent="0.3">
      <c r="A42" s="28" t="s">
        <v>75</v>
      </c>
      <c r="B42" s="29"/>
      <c r="C42" s="30"/>
      <c r="D42" s="8">
        <f>D41/2</f>
        <v>1629.9750000000001</v>
      </c>
    </row>
    <row r="43" spans="1:4" x14ac:dyDescent="0.3">
      <c r="B43" s="1"/>
      <c r="C43" s="9"/>
      <c r="D43" s="9"/>
    </row>
  </sheetData>
  <mergeCells count="7">
    <mergeCell ref="A41:C41"/>
    <mergeCell ref="A42:C42"/>
    <mergeCell ref="A1:D1"/>
    <mergeCell ref="A14:D14"/>
    <mergeCell ref="A25:C25"/>
    <mergeCell ref="A26:C26"/>
    <mergeCell ref="A30:D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AD85-98B0-43DA-8228-6D2247C3E7DA}">
  <dimension ref="B2:F24"/>
  <sheetViews>
    <sheetView workbookViewId="0">
      <selection activeCell="K27" sqref="K27"/>
    </sheetView>
  </sheetViews>
  <sheetFormatPr defaultRowHeight="14.4" x14ac:dyDescent="0.3"/>
  <cols>
    <col min="2" max="2" width="23.77734375" bestFit="1" customWidth="1"/>
    <col min="3" max="3" width="9.44140625" style="9" customWidth="1"/>
    <col min="4" max="4" width="2.21875" customWidth="1"/>
    <col min="5" max="5" width="27.77734375" bestFit="1" customWidth="1"/>
    <col min="6" max="6" width="9" bestFit="1" customWidth="1"/>
  </cols>
  <sheetData>
    <row r="2" spans="2:6" x14ac:dyDescent="0.3">
      <c r="B2" s="17" t="s">
        <v>150</v>
      </c>
      <c r="C2" s="18"/>
      <c r="E2" s="17" t="s">
        <v>158</v>
      </c>
      <c r="F2" s="18"/>
    </row>
    <row r="3" spans="2:6" x14ac:dyDescent="0.3">
      <c r="B3" t="s">
        <v>151</v>
      </c>
      <c r="C3" s="9">
        <v>56.1</v>
      </c>
      <c r="E3" t="s">
        <v>161</v>
      </c>
      <c r="F3" s="9">
        <f>1891.04+97.22+55.2</f>
        <v>2043.46</v>
      </c>
    </row>
    <row r="4" spans="2:6" x14ac:dyDescent="0.3">
      <c r="B4" t="s">
        <v>184</v>
      </c>
      <c r="C4" s="9">
        <v>84.05</v>
      </c>
      <c r="E4" t="s">
        <v>162</v>
      </c>
      <c r="F4" s="9">
        <f>41.43+482.82+10.98+34.5+22.02</f>
        <v>591.75</v>
      </c>
    </row>
    <row r="5" spans="2:6" x14ac:dyDescent="0.3">
      <c r="B5" t="s">
        <v>152</v>
      </c>
      <c r="E5" t="s">
        <v>163</v>
      </c>
      <c r="F5" s="9">
        <f>60.68+17.54+152.08+77.9+113.11+38.93</f>
        <v>460.24000000000007</v>
      </c>
    </row>
    <row r="6" spans="2:6" x14ac:dyDescent="0.3">
      <c r="B6" s="17" t="s">
        <v>146</v>
      </c>
      <c r="C6" s="18"/>
      <c r="E6" t="s">
        <v>164</v>
      </c>
      <c r="F6" s="9">
        <f>1079.11+80+35.6</f>
        <v>1194.7099999999998</v>
      </c>
    </row>
    <row r="7" spans="2:6" x14ac:dyDescent="0.3">
      <c r="B7" t="s">
        <v>147</v>
      </c>
      <c r="C7" s="9">
        <f>266+10</f>
        <v>276</v>
      </c>
      <c r="E7" t="s">
        <v>165</v>
      </c>
      <c r="F7" s="9">
        <f>74.1+54.43+24.97</f>
        <v>153.5</v>
      </c>
    </row>
    <row r="8" spans="2:6" x14ac:dyDescent="0.3">
      <c r="B8" t="s">
        <v>148</v>
      </c>
      <c r="C8" s="9">
        <f>386</f>
        <v>386</v>
      </c>
      <c r="E8" t="s">
        <v>170</v>
      </c>
      <c r="F8" s="9">
        <f>975.2+848.64</f>
        <v>1823.8400000000001</v>
      </c>
    </row>
    <row r="9" spans="2:6" x14ac:dyDescent="0.3">
      <c r="B9" t="s">
        <v>153</v>
      </c>
      <c r="C9" s="9">
        <f>45.9*2</f>
        <v>91.8</v>
      </c>
      <c r="E9" t="s">
        <v>131</v>
      </c>
      <c r="F9" s="9">
        <f>229.5*2</f>
        <v>459</v>
      </c>
    </row>
    <row r="10" spans="2:6" x14ac:dyDescent="0.3">
      <c r="B10" t="s">
        <v>159</v>
      </c>
      <c r="C10" s="9">
        <f>362.5*2</f>
        <v>725</v>
      </c>
      <c r="E10" s="17" t="s">
        <v>166</v>
      </c>
      <c r="F10" s="18"/>
    </row>
    <row r="11" spans="2:6" x14ac:dyDescent="0.3">
      <c r="B11" t="s">
        <v>160</v>
      </c>
      <c r="C11" s="9">
        <v>191.16</v>
      </c>
      <c r="E11" t="s">
        <v>167</v>
      </c>
      <c r="F11" s="9">
        <f>56.25+55.55</f>
        <v>111.8</v>
      </c>
    </row>
    <row r="12" spans="2:6" x14ac:dyDescent="0.3">
      <c r="B12" s="17" t="s">
        <v>149</v>
      </c>
      <c r="C12" s="18"/>
      <c r="E12" t="s">
        <v>168</v>
      </c>
      <c r="F12" s="9">
        <f>149.9+163.8</f>
        <v>313.70000000000005</v>
      </c>
    </row>
    <row r="13" spans="2:6" x14ac:dyDescent="0.3">
      <c r="B13" t="s">
        <v>154</v>
      </c>
      <c r="C13" s="9">
        <f>35.79+164.95</f>
        <v>200.73999999999998</v>
      </c>
      <c r="E13" t="s">
        <v>169</v>
      </c>
      <c r="F13" s="9">
        <v>156.66</v>
      </c>
    </row>
    <row r="14" spans="2:6" x14ac:dyDescent="0.3">
      <c r="B14" t="s">
        <v>80</v>
      </c>
      <c r="C14" s="9">
        <v>153.79</v>
      </c>
      <c r="E14" t="s">
        <v>171</v>
      </c>
      <c r="F14" s="9">
        <v>672.26</v>
      </c>
    </row>
    <row r="15" spans="2:6" x14ac:dyDescent="0.3">
      <c r="B15" t="s">
        <v>155</v>
      </c>
      <c r="C15" s="9">
        <v>136.80000000000001</v>
      </c>
      <c r="E15" t="s">
        <v>172</v>
      </c>
      <c r="F15" s="9">
        <v>349.98</v>
      </c>
    </row>
    <row r="16" spans="2:6" x14ac:dyDescent="0.3">
      <c r="B16" t="s">
        <v>156</v>
      </c>
      <c r="C16" s="9">
        <f>118.78+26.81+13.76</f>
        <v>159.35</v>
      </c>
      <c r="E16" s="17" t="s">
        <v>173</v>
      </c>
      <c r="F16" s="18"/>
    </row>
    <row r="17" spans="2:6" x14ac:dyDescent="0.3">
      <c r="B17" t="s">
        <v>71</v>
      </c>
      <c r="C17" s="9">
        <v>1400</v>
      </c>
      <c r="E17" t="s">
        <v>174</v>
      </c>
      <c r="F17" s="9">
        <v>841.54</v>
      </c>
    </row>
    <row r="18" spans="2:6" x14ac:dyDescent="0.3">
      <c r="B18" t="s">
        <v>183</v>
      </c>
      <c r="C18" s="9">
        <v>450</v>
      </c>
      <c r="E18" t="s">
        <v>135</v>
      </c>
      <c r="F18" s="9">
        <f>107.12+25.5</f>
        <v>132.62</v>
      </c>
    </row>
    <row r="19" spans="2:6" x14ac:dyDescent="0.3">
      <c r="B19" t="s">
        <v>157</v>
      </c>
      <c r="C19" s="9">
        <v>2650</v>
      </c>
      <c r="E19" t="s">
        <v>175</v>
      </c>
      <c r="F19" s="9">
        <v>225.19</v>
      </c>
    </row>
    <row r="20" spans="2:6" x14ac:dyDescent="0.3">
      <c r="E20" t="s">
        <v>176</v>
      </c>
      <c r="F20" s="9">
        <f>19.97+5.75</f>
        <v>25.72</v>
      </c>
    </row>
    <row r="21" spans="2:6" x14ac:dyDescent="0.3">
      <c r="E21" t="s">
        <v>177</v>
      </c>
      <c r="F21" s="9">
        <f>274.92+5.2</f>
        <v>280.12</v>
      </c>
    </row>
    <row r="22" spans="2:6" x14ac:dyDescent="0.3">
      <c r="E22" t="s">
        <v>182</v>
      </c>
      <c r="F22" s="9">
        <f>20.61+144.83+50.79</f>
        <v>216.23</v>
      </c>
    </row>
    <row r="23" spans="2:6" ht="15" thickBot="1" x14ac:dyDescent="0.35">
      <c r="B23" s="19"/>
      <c r="C23" s="20"/>
      <c r="D23" s="19"/>
      <c r="E23" s="19" t="s">
        <v>181</v>
      </c>
      <c r="F23" s="20">
        <v>395</v>
      </c>
    </row>
    <row r="24" spans="2:6" ht="15" thickBot="1" x14ac:dyDescent="0.35">
      <c r="B24" s="31" t="s">
        <v>185</v>
      </c>
      <c r="C24" s="32"/>
      <c r="D24" s="32"/>
      <c r="E24" s="33">
        <f>SUM(C3:C19,F3:F23)</f>
        <v>17408.11</v>
      </c>
      <c r="F24" s="34"/>
    </row>
  </sheetData>
  <mergeCells count="2">
    <mergeCell ref="B24:D24"/>
    <mergeCell ref="E24:F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Pope</dc:creator>
  <cp:lastModifiedBy>Jon Pope</cp:lastModifiedBy>
  <cp:lastPrinted>2020-07-16T21:53:54Z</cp:lastPrinted>
  <dcterms:created xsi:type="dcterms:W3CDTF">2018-07-17T15:42:59Z</dcterms:created>
  <dcterms:modified xsi:type="dcterms:W3CDTF">2022-11-24T03:53:30Z</dcterms:modified>
</cp:coreProperties>
</file>